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4.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always" codeName="ThisWorkbook" defaultThemeVersion="124226"/>
  <mc:AlternateContent xmlns:mc="http://schemas.openxmlformats.org/markup-compatibility/2006">
    <mc:Choice Requires="x15">
      <x15ac:absPath xmlns:x15ac="http://schemas.microsoft.com/office/spreadsheetml/2010/11/ac" url="L:\SUNY\2015\SUNY Excels\"/>
    </mc:Choice>
  </mc:AlternateContent>
  <bookViews>
    <workbookView xWindow="0" yWindow="0" windowWidth="28800" windowHeight="11235" tabRatio="781" firstSheet="15" activeTab="22"/>
  </bookViews>
  <sheets>
    <sheet name="Campus Selector" sheetId="56" r:id="rId1"/>
    <sheet name="SUNY Excels 17" sheetId="78" state="hidden" r:id="rId2"/>
    <sheet name="Workbook Contents" sheetId="55" r:id="rId3"/>
    <sheet name="SUNY Excels Graphics (T)" sheetId="73" r:id="rId4"/>
    <sheet name="SUNY Excels Dashboard" sheetId="83" r:id="rId5"/>
    <sheet name="Enrollment 5YR" sheetId="6" r:id="rId6"/>
    <sheet name="FULL Enrollment Beyond Fall" sheetId="39" r:id="rId7"/>
    <sheet name="Applicant Acceptance" sheetId="28" r:id="rId8"/>
    <sheet name="Geographic Diversity 5 Year" sheetId="17" r:id="rId9"/>
    <sheet name="Student Diversity 5 Year" sheetId="20" r:id="rId10"/>
    <sheet name="Faculty Trends" sheetId="32" r:id="rId11"/>
    <sheet name="Staff Trends" sheetId="34" r:id="rId12"/>
    <sheet name="Retention" sheetId="36" r:id="rId13"/>
    <sheet name="First-Time Grad Rates" sheetId="58" r:id="rId14"/>
    <sheet name="Transfer Grad Rates" sheetId="37" r:id="rId15"/>
    <sheet name="Time Credits to Degree" sheetId="35" r:id="rId16"/>
    <sheet name="SUNY Educ Outcomes" sheetId="81" r:id="rId17"/>
    <sheet name="Degrees Awards Granted" sheetId="40" r:id="rId18"/>
    <sheet name="SOS Results Table 1" sheetId="59" r:id="rId19"/>
    <sheet name="SOS Results Table 2" sheetId="60" r:id="rId20"/>
    <sheet name="Financial Aid Literacy" sheetId="41" r:id="rId21"/>
    <sheet name="Research Expenditures" sheetId="21" r:id="rId22"/>
    <sheet name="Alumni Philanthropy" sheetId="44" r:id="rId23"/>
    <sheet name="Campus Plan 4 input (no sector)" sheetId="80" state="hidden" r:id="rId24"/>
    <sheet name="Campus Plan 4 input(hide)" sheetId="76" state="hidden" r:id="rId25"/>
  </sheets>
  <externalReferences>
    <externalReference r:id="rId26"/>
    <externalReference r:id="rId27"/>
  </externalReferences>
  <definedNames>
    <definedName name="____W.O.R.K.B.O.O.K..C.O.N.T.E.N.T.S____" localSheetId="23">#REF!</definedName>
    <definedName name="____W.O.R.K.B.O.O.K..C.O.N.T.E.N.T.S____" localSheetId="0">'Campus Selector'!$F$13</definedName>
    <definedName name="____W.O.R.K.B.O.O.K..C.O.N.T.E.N.T.S____" localSheetId="13">#REF!</definedName>
    <definedName name="____W.O.R.K.B.O.O.K..C.O.N.T.E.N.T.S____" localSheetId="18">#REF!</definedName>
    <definedName name="____W.O.R.K.B.O.O.K..C.O.N.T.E.N.T.S____" localSheetId="19">#REF!</definedName>
    <definedName name="____W.O.R.K.B.O.O.K..C.O.N.T.E.N.T.S____" localSheetId="16">#REF!</definedName>
    <definedName name="____W.O.R.K.B.O.O.K..C.O.N.T.E.N.T.S____" localSheetId="4">#REF!</definedName>
    <definedName name="____W.O.R.K.B.O.O.K..C.O.N.T.E.N.T.S____" localSheetId="3">#REF!</definedName>
    <definedName name="____W.O.R.K.B.O.O.K..C.O.N.T.E.N.T.S____" localSheetId="2">'Workbook Contents'!$E$3</definedName>
    <definedName name="____W.O.R.K.B.O.O.K..C.O.N.T.E.N.T.S____">#REF!</definedName>
    <definedName name="__123Graph_A" localSheetId="23" hidden="1">'[1]10 - EmployeebyEthnicity FT PT'!#REF!</definedName>
    <definedName name="__123Graph_A" localSheetId="0" hidden="1">'[1]10 - EmployeebyEthnicity FT PT'!#REF!</definedName>
    <definedName name="__123Graph_A" localSheetId="13" hidden="1">'[1]10 - EmployeebyEthnicity FT PT'!#REF!</definedName>
    <definedName name="__123Graph_A" localSheetId="18" hidden="1">'[1]10 - EmployeebyEthnicity FT PT'!#REF!</definedName>
    <definedName name="__123Graph_A" localSheetId="19" hidden="1">'[1]10 - EmployeebyEthnicity FT PT'!#REF!</definedName>
    <definedName name="__123Graph_A" localSheetId="4" hidden="1">'[1]10 - EmployeebyEthnicity FT PT'!#REF!</definedName>
    <definedName name="__123Graph_A" localSheetId="3" hidden="1">'[1]10 - EmployeebyEthnicity FT PT'!#REF!</definedName>
    <definedName name="__123Graph_A" localSheetId="2" hidden="1">'[1]10 - EmployeebyEthnicity FT PT'!#REF!</definedName>
    <definedName name="__123Graph_A" hidden="1">'[1]10 - EmployeebyEthnicity FT PT'!#REF!</definedName>
    <definedName name="__123Graph_B" localSheetId="23" hidden="1">'[1]10 - EmployeebyEthnicity FT PT'!#REF!</definedName>
    <definedName name="__123Graph_B" localSheetId="0" hidden="1">'[1]10 - EmployeebyEthnicity FT PT'!#REF!</definedName>
    <definedName name="__123Graph_B" localSheetId="13" hidden="1">'[1]10 - EmployeebyEthnicity FT PT'!#REF!</definedName>
    <definedName name="__123Graph_B" localSheetId="18" hidden="1">'[1]10 - EmployeebyEthnicity FT PT'!#REF!</definedName>
    <definedName name="__123Graph_B" localSheetId="19" hidden="1">'[1]10 - EmployeebyEthnicity FT PT'!#REF!</definedName>
    <definedName name="__123Graph_B" localSheetId="4" hidden="1">'[1]10 - EmployeebyEthnicity FT PT'!#REF!</definedName>
    <definedName name="__123Graph_B" localSheetId="3" hidden="1">'[1]10 - EmployeebyEthnicity FT PT'!#REF!</definedName>
    <definedName name="__123Graph_B" localSheetId="2" hidden="1">'[1]10 - EmployeebyEthnicity FT PT'!#REF!</definedName>
    <definedName name="__123Graph_B" hidden="1">'[1]10 - EmployeebyEthnicity FT PT'!#REF!</definedName>
    <definedName name="__123Graph_C" localSheetId="23" hidden="1">'[1]10 - EmployeebyEthnicity FT PT'!#REF!</definedName>
    <definedName name="__123Graph_C" localSheetId="0" hidden="1">'[1]10 - EmployeebyEthnicity FT PT'!#REF!</definedName>
    <definedName name="__123Graph_C" localSheetId="13" hidden="1">'[1]10 - EmployeebyEthnicity FT PT'!#REF!</definedName>
    <definedName name="__123Graph_C" localSheetId="18" hidden="1">'[1]10 - EmployeebyEthnicity FT PT'!#REF!</definedName>
    <definedName name="__123Graph_C" localSheetId="19" hidden="1">'[1]10 - EmployeebyEthnicity FT PT'!#REF!</definedName>
    <definedName name="__123Graph_C" localSheetId="4" hidden="1">'[1]10 - EmployeebyEthnicity FT PT'!#REF!</definedName>
    <definedName name="__123Graph_C" localSheetId="3" hidden="1">'[1]10 - EmployeebyEthnicity FT PT'!#REF!</definedName>
    <definedName name="__123Graph_C" localSheetId="2" hidden="1">'[1]10 - EmployeebyEthnicity FT PT'!#REF!</definedName>
    <definedName name="__123Graph_C" hidden="1">'[1]10 - EmployeebyEthnicity FT PT'!#REF!</definedName>
    <definedName name="__123Graph_D" localSheetId="23" hidden="1">'[1]10 - EmployeebyEthnicity FT PT'!#REF!</definedName>
    <definedName name="__123Graph_D" localSheetId="0" hidden="1">'[1]10 - EmployeebyEthnicity FT PT'!#REF!</definedName>
    <definedName name="__123Graph_D" localSheetId="13" hidden="1">'[1]10 - EmployeebyEthnicity FT PT'!#REF!</definedName>
    <definedName name="__123Graph_D" localSheetId="18" hidden="1">'[1]10 - EmployeebyEthnicity FT PT'!#REF!</definedName>
    <definedName name="__123Graph_D" localSheetId="19" hidden="1">'[1]10 - EmployeebyEthnicity FT PT'!#REF!</definedName>
    <definedName name="__123Graph_D" localSheetId="4" hidden="1">'[1]10 - EmployeebyEthnicity FT PT'!#REF!</definedName>
    <definedName name="__123Graph_D" localSheetId="3" hidden="1">'[1]10 - EmployeebyEthnicity FT PT'!#REF!</definedName>
    <definedName name="__123Graph_D" localSheetId="2" hidden="1">'[1]10 - EmployeebyEthnicity FT PT'!#REF!</definedName>
    <definedName name="__123Graph_D" hidden="1">'[1]10 - EmployeebyEthnicity FT PT'!#REF!</definedName>
    <definedName name="__123Graph_X" localSheetId="23" hidden="1">'[1]10 - EmployeebyEthnicity FT PT'!#REF!</definedName>
    <definedName name="__123Graph_X" localSheetId="0" hidden="1">'[1]10 - EmployeebyEthnicity FT PT'!#REF!</definedName>
    <definedName name="__123Graph_X" localSheetId="13" hidden="1">'[1]10 - EmployeebyEthnicity FT PT'!#REF!</definedName>
    <definedName name="__123Graph_X" localSheetId="18" hidden="1">'[1]10 - EmployeebyEthnicity FT PT'!#REF!</definedName>
    <definedName name="__123Graph_X" localSheetId="19" hidden="1">'[1]10 - EmployeebyEthnicity FT PT'!#REF!</definedName>
    <definedName name="__123Graph_X" localSheetId="4" hidden="1">'[1]10 - EmployeebyEthnicity FT PT'!#REF!</definedName>
    <definedName name="__123Graph_X" localSheetId="3" hidden="1">'[1]10 - EmployeebyEthnicity FT PT'!#REF!</definedName>
    <definedName name="__123Graph_X" localSheetId="2" hidden="1">'[1]10 - EmployeebyEthnicity FT PT'!#REF!</definedName>
    <definedName name="__123Graph_X" hidden="1">'[1]10 - EmployeebyEthnicity FT PT'!#REF!</definedName>
    <definedName name="_Fill" localSheetId="23" hidden="1">#REF!</definedName>
    <definedName name="_Fill" localSheetId="0" hidden="1">#REF!</definedName>
    <definedName name="_Fill" localSheetId="13" hidden="1">#REF!</definedName>
    <definedName name="_Fill" localSheetId="18" hidden="1">#REF!</definedName>
    <definedName name="_Fill" localSheetId="19" hidden="1">#REF!</definedName>
    <definedName name="_Fill" localSheetId="16" hidden="1">#REF!</definedName>
    <definedName name="_Fill" localSheetId="4" hidden="1">#REF!</definedName>
    <definedName name="_Fill" localSheetId="3" hidden="1">#REF!</definedName>
    <definedName name="_Fill" localSheetId="2" hidden="1">#REF!</definedName>
    <definedName name="_Fill" hidden="1">#REF!</definedName>
    <definedName name="_xlnm._FilterDatabase" localSheetId="4" hidden="1">'SUNY Excels Dashboard'!$A$7:$U$67</definedName>
    <definedName name="_Key1" localSheetId="23" hidden="1">#REF!</definedName>
    <definedName name="_Key1" localSheetId="0" hidden="1">#REF!</definedName>
    <definedName name="_Key1" localSheetId="13" hidden="1">#REF!</definedName>
    <definedName name="_Key1" localSheetId="18" hidden="1">#REF!</definedName>
    <definedName name="_Key1" localSheetId="19" hidden="1">#REF!</definedName>
    <definedName name="_Key1" localSheetId="4" hidden="1">#REF!</definedName>
    <definedName name="_Key1" localSheetId="3" hidden="1">#REF!</definedName>
    <definedName name="_Key1" localSheetId="2" hidden="1">#REF!</definedName>
    <definedName name="_Key1" hidden="1">#REF!</definedName>
    <definedName name="_Order1" hidden="1">255</definedName>
    <definedName name="_RNL1">'[2]CC Database'!$F$6:$O$36</definedName>
    <definedName name="_RNL11">'[2]CC Database'!$F$230:$M$260</definedName>
    <definedName name="_RNL12">'[2]CC Database'!$F$262:$M$292</definedName>
    <definedName name="_RNL13">'[2]CC Database'!$F$294:$M$324</definedName>
    <definedName name="_RNL15">'[2]CC Database'!$F$326:$O$356</definedName>
    <definedName name="_RNL16">'[2]CC Database'!$F$358:$M$388</definedName>
    <definedName name="_RNL17">'[2]CC Database'!$F$390:$M$420</definedName>
    <definedName name="_RNL18">'[2]CC Database'!$F$422:$M$452</definedName>
    <definedName name="_RNL185">'[2]CC Database'!$F$454:$M$484</definedName>
    <definedName name="_RNL2">'[2]CC Database'!$F$38:$M$68</definedName>
    <definedName name="_RNL21">'[2]CC Database'!$F$486:$M$516</definedName>
    <definedName name="_RNL22">'[2]CC Database'!$F$518:$M$548</definedName>
    <definedName name="_RNL23">'[2]CC Database'!$F$550:$M$580</definedName>
    <definedName name="_RNL24">'[2]CC Database'!$F$582:$M$612</definedName>
    <definedName name="_RNL25">'[2]CC Database'!$F$614:$M$644</definedName>
    <definedName name="_RNL26">'[2]CC Database'!$F$646:$M$676</definedName>
    <definedName name="_RNL27">'[2]CC Database'!$F$678:$M$708</definedName>
    <definedName name="_RNL28">'[2]CC Database'!$F$710:$M$740</definedName>
    <definedName name="_RNL29">'[2]CC Database'!$F$742:$M$772</definedName>
    <definedName name="_RNL3">'[2]CC Database'!$F$70:$M$100</definedName>
    <definedName name="_RNL32">'[2]CC Database'!$F$774:$M$804</definedName>
    <definedName name="_RNL35">'[2]CC Database'!$F$806:$M$836</definedName>
    <definedName name="_RNL36">'[2]CC Database'!$F$838:$M$868</definedName>
    <definedName name="_RNL37">'[2]CC Database'!$F$870:$M$900</definedName>
    <definedName name="_RNL38">'[2]CC Database'!$F$902:$M$932</definedName>
    <definedName name="_RNL39">'[2]CC Database'!$F$934:$M$964</definedName>
    <definedName name="_RNL40">'[2]CC Database'!$F$966:$N$996</definedName>
    <definedName name="_RNL41">'[2]CC Database'!$F$998:$N$1028</definedName>
    <definedName name="_RNL42">'[2]CC Database'!$F$1030:$N$1060</definedName>
    <definedName name="_RNL43">'[2]CC Database'!$F$1062:$N$1092</definedName>
    <definedName name="_RNL44">'[2]CC Database'!$F$1094:$N$1124</definedName>
    <definedName name="_RNL6">'[2]CC Database'!$F$102:$M$132</definedName>
    <definedName name="_RNL7">'[2]CC Database'!$F$134:$M$164</definedName>
    <definedName name="_RNL9">'[2]CC Database'!$F$166:$M$196</definedName>
    <definedName name="_Sort" localSheetId="23" hidden="1">#REF!</definedName>
    <definedName name="_Sort" localSheetId="0" hidden="1">#REF!</definedName>
    <definedName name="_Sort" localSheetId="13" hidden="1">#REF!</definedName>
    <definedName name="_Sort" localSheetId="18" hidden="1">#REF!</definedName>
    <definedName name="_Sort" localSheetId="19" hidden="1">#REF!</definedName>
    <definedName name="_Sort" localSheetId="16" hidden="1">#REF!</definedName>
    <definedName name="_Sort" localSheetId="4" hidden="1">#REF!</definedName>
    <definedName name="_Sort" localSheetId="3" hidden="1">#REF!</definedName>
    <definedName name="_Sort" localSheetId="2" hidden="1">#REF!</definedName>
    <definedName name="_Sort" hidden="1">#REF!</definedName>
    <definedName name="_Table1_In1" localSheetId="23" hidden="1">#REF!</definedName>
    <definedName name="_Table1_In1" localSheetId="0" hidden="1">#REF!</definedName>
    <definedName name="_Table1_In1" localSheetId="13" hidden="1">#REF!</definedName>
    <definedName name="_Table1_In1" localSheetId="18" hidden="1">#REF!</definedName>
    <definedName name="_Table1_In1" localSheetId="19" hidden="1">#REF!</definedName>
    <definedName name="_Table1_In1" localSheetId="4" hidden="1">#REF!</definedName>
    <definedName name="_Table1_In1" localSheetId="3" hidden="1">#REF!</definedName>
    <definedName name="_Table1_In1" localSheetId="2" hidden="1">#REF!</definedName>
    <definedName name="_Table1_In1" hidden="1">#REF!</definedName>
    <definedName name="_Table1_Out" localSheetId="23" hidden="1">#REF!</definedName>
    <definedName name="_Table1_Out" localSheetId="0" hidden="1">#REF!</definedName>
    <definedName name="_Table1_Out" localSheetId="13" hidden="1">#REF!</definedName>
    <definedName name="_Table1_Out" localSheetId="18" hidden="1">#REF!</definedName>
    <definedName name="_Table1_Out" localSheetId="19" hidden="1">#REF!</definedName>
    <definedName name="_Table1_Out" localSheetId="4" hidden="1">#REF!</definedName>
    <definedName name="_Table1_Out" localSheetId="3" hidden="1">#REF!</definedName>
    <definedName name="_Table1_Out" localSheetId="2" hidden="1">#REF!</definedName>
    <definedName name="_Table1_Out" hidden="1">#REF!</definedName>
    <definedName name="_Table2_In1" localSheetId="23" hidden="1">#REF!</definedName>
    <definedName name="_Table2_In1" localSheetId="0" hidden="1">#REF!</definedName>
    <definedName name="_Table2_In1" localSheetId="13" hidden="1">#REF!</definedName>
    <definedName name="_Table2_In1" localSheetId="18" hidden="1">#REF!</definedName>
    <definedName name="_Table2_In1" localSheetId="19" hidden="1">#REF!</definedName>
    <definedName name="_Table2_In1" localSheetId="4" hidden="1">#REF!</definedName>
    <definedName name="_Table2_In1" localSheetId="3" hidden="1">#REF!</definedName>
    <definedName name="_Table2_In1" localSheetId="2" hidden="1">#REF!</definedName>
    <definedName name="_Table2_In1" hidden="1">#REF!</definedName>
    <definedName name="_Table2_Out" localSheetId="23" hidden="1">#REF!</definedName>
    <definedName name="_Table2_Out" localSheetId="0" hidden="1">#REF!</definedName>
    <definedName name="_Table2_Out" localSheetId="13" hidden="1">#REF!</definedName>
    <definedName name="_Table2_Out" localSheetId="18" hidden="1">#REF!</definedName>
    <definedName name="_Table2_Out" localSheetId="19" hidden="1">#REF!</definedName>
    <definedName name="_Table2_Out" localSheetId="4" hidden="1">#REF!</definedName>
    <definedName name="_Table2_Out" localSheetId="3" hidden="1">#REF!</definedName>
    <definedName name="_Table2_Out" localSheetId="2" hidden="1">#REF!</definedName>
    <definedName name="_Table2_Out" hidden="1">#REF!</definedName>
    <definedName name="CampusName">'Campus Selector'!$G$3</definedName>
    <definedName name="CampusNameList">'Campus Selector'!$K$14:$K$74</definedName>
    <definedName name="dashboard" localSheetId="23">#REF!</definedName>
    <definedName name="dashboard" localSheetId="0">#REF!</definedName>
    <definedName name="dashboard" localSheetId="13">#REF!</definedName>
    <definedName name="dashboard" localSheetId="18">#REF!</definedName>
    <definedName name="dashboard" localSheetId="19">#REF!</definedName>
    <definedName name="dashboard" localSheetId="16">#REF!</definedName>
    <definedName name="dashboard" localSheetId="4">#REF!</definedName>
    <definedName name="dashboard" localSheetId="3">#REF!</definedName>
    <definedName name="dashboard" localSheetId="2">#REF!</definedName>
    <definedName name="dashboard">#REF!</definedName>
    <definedName name="kyd.ChngCell.01." localSheetId="23" hidden="1">#REF!</definedName>
    <definedName name="kyd.ChngCell.01." localSheetId="0" hidden="1">#REF!</definedName>
    <definedName name="kyd.ChngCell.01." localSheetId="13" hidden="1">#REF!</definedName>
    <definedName name="kyd.ChngCell.01." localSheetId="18" hidden="1">#REF!</definedName>
    <definedName name="kyd.ChngCell.01." localSheetId="19" hidden="1">#REF!</definedName>
    <definedName name="kyd.ChngCell.01." localSheetId="4" hidden="1">#REF!</definedName>
    <definedName name="kyd.ChngCell.01." localSheetId="3" hidden="1">#REF!</definedName>
    <definedName name="kyd.ChngCell.01." localSheetId="2" hidden="1">#REF!</definedName>
    <definedName name="kyd.ChngCell.01." hidden="1">#REF!</definedName>
    <definedName name="kyd.CounterLimitCell.01." hidden="1">"x"</definedName>
    <definedName name="kyd.Dim.01." hidden="1">"local:Company"</definedName>
    <definedName name="kyd.ElementList.01." localSheetId="23" hidden="1">#REF!</definedName>
    <definedName name="kyd.ElementList.01." localSheetId="0" hidden="1">#REF!</definedName>
    <definedName name="kyd.ElementList.01." localSheetId="13" hidden="1">#REF!</definedName>
    <definedName name="kyd.ElementList.01." localSheetId="18" hidden="1">#REF!</definedName>
    <definedName name="kyd.ElementList.01." localSheetId="19" hidden="1">#REF!</definedName>
    <definedName name="kyd.ElementList.01." localSheetId="16" hidden="1">#REF!</definedName>
    <definedName name="kyd.ElementList.01." localSheetId="4" hidden="1">#REF!</definedName>
    <definedName name="kyd.ElementList.01." localSheetId="3" hidden="1">#REF!</definedName>
    <definedName name="kyd.ElementList.01." localSheetId="2" hidden="1">#REF!</definedName>
    <definedName name="kyd.ElementList.01." hidden="1">#REF!</definedName>
    <definedName name="kyd.ElementType.01." hidden="1">3</definedName>
    <definedName name="kyd.ItemType.01." hidden="1">2</definedName>
    <definedName name="kyd.MacroAfterMemoRow." hidden="1">""</definedName>
    <definedName name="kyd.MacroAfterZap." hidden="1">""</definedName>
    <definedName name="kyd.MacroAtEnd." hidden="1">""</definedName>
    <definedName name="kyd.MacroEachCycle." hidden="1">"FormatReport"</definedName>
    <definedName name="kyd.MacroEndOfEachCycle." hidden="1">""</definedName>
    <definedName name="kyd.MacroStartOfProc." hidden="1">""</definedName>
    <definedName name="kyd.MemoCtrlNum." hidden="1">0</definedName>
    <definedName name="kyd.MemoSortHide." hidden="1">FALSE</definedName>
    <definedName name="kyd.NumLevels.01." hidden="1">999</definedName>
    <definedName name="kyd.PanicStop." hidden="1">FALSE</definedName>
    <definedName name="kyd.ParentName.01." hidden="1">""</definedName>
    <definedName name="kyd.PreScreenData." hidden="1">FALSE</definedName>
    <definedName name="kyd.PrintMemo." hidden="1">FALSE</definedName>
    <definedName name="kyd.PrintParent.01." hidden="1">TRUE</definedName>
    <definedName name="kyd.PrintStdAlertCell." localSheetId="23" hidden="1">#REF!</definedName>
    <definedName name="kyd.PrintStdAlertCell." localSheetId="0" hidden="1">#REF!</definedName>
    <definedName name="kyd.PrintStdAlertCell." localSheetId="13" hidden="1">#REF!</definedName>
    <definedName name="kyd.PrintStdAlertCell." localSheetId="18" hidden="1">#REF!</definedName>
    <definedName name="kyd.PrintStdAlertCell." localSheetId="19" hidden="1">#REF!</definedName>
    <definedName name="kyd.PrintStdAlertCell." localSheetId="16" hidden="1">#REF!</definedName>
    <definedName name="kyd.PrintStdAlertCell." localSheetId="4" hidden="1">#REF!</definedName>
    <definedName name="kyd.PrintStdAlertCell." localSheetId="3" hidden="1">#REF!</definedName>
    <definedName name="kyd.PrintStdAlertCell." localSheetId="2" hidden="1">#REF!</definedName>
    <definedName name="kyd.PrintStdAlertCell." hidden="1">#REF!</definedName>
    <definedName name="kyd.PrintStdWhen." hidden="1">3</definedName>
    <definedName name="kyd.PrintToWbk." hidden="1">FALSE</definedName>
    <definedName name="kyd.ProcessInCycle." hidden="1">FALSE</definedName>
    <definedName name="kyd.SaveAsFile." hidden="1">FALSE</definedName>
    <definedName name="kyd.SaveMemo." hidden="1">FALSE</definedName>
    <definedName name="kyd.SelectString.01." hidden="1">"*"</definedName>
    <definedName name="kyd.ServerCell." localSheetId="23" hidden="1">#REF!</definedName>
    <definedName name="kyd.ServerCell." localSheetId="0" hidden="1">#REF!</definedName>
    <definedName name="kyd.ServerCell." localSheetId="13" hidden="1">#REF!</definedName>
    <definedName name="kyd.ServerCell." localSheetId="18" hidden="1">#REF!</definedName>
    <definedName name="kyd.ServerCell." localSheetId="19" hidden="1">#REF!</definedName>
    <definedName name="kyd.ServerCell." localSheetId="16" hidden="1">#REF!</definedName>
    <definedName name="kyd.ServerCell." localSheetId="4" hidden="1">#REF!</definedName>
    <definedName name="kyd.ServerCell." localSheetId="3" hidden="1">#REF!</definedName>
    <definedName name="kyd.ServerCell." localSheetId="2" hidden="1">#REF!</definedName>
    <definedName name="kyd.ServerCell." hidden="1">#REF!</definedName>
    <definedName name="kyd.Shortcut." hidden="1">FALSE</definedName>
    <definedName name="kyd.StdSortHide." hidden="1">FALSE</definedName>
    <definedName name="kyd.StopRow." hidden="1">65536</definedName>
    <definedName name="kyd.WriteMemWhenOptn." hidden="1">3</definedName>
    <definedName name="notes" localSheetId="23">'[2]CC Database'!#REF!</definedName>
    <definedName name="notes" localSheetId="0">'[2]CC Database'!#REF!</definedName>
    <definedName name="notes" localSheetId="13">'[2]CC Database'!#REF!</definedName>
    <definedName name="notes" localSheetId="18">'[2]CC Database'!#REF!</definedName>
    <definedName name="notes" localSheetId="19">'[2]CC Database'!#REF!</definedName>
    <definedName name="notes" localSheetId="16">'[2]CC Database'!#REF!</definedName>
    <definedName name="notes" localSheetId="4">'[2]CC Database'!#REF!</definedName>
    <definedName name="notes" localSheetId="3">'[2]CC Database'!#REF!</definedName>
    <definedName name="notes" localSheetId="2">'[2]CC Database'!#REF!</definedName>
    <definedName name="notes">'[2]CC Database'!#REF!</definedName>
    <definedName name="_xlnm.Print_Area" localSheetId="22">'Alumni Philanthropy'!$E$4:$N$22</definedName>
    <definedName name="_xlnm.Print_Area" localSheetId="7">'Applicant Acceptance'!$E$4:$O$47</definedName>
    <definedName name="_xlnm.Print_Area" localSheetId="0">'Campus Selector'!$B$1:$I$41</definedName>
    <definedName name="_xlnm.Print_Area" localSheetId="17">'Degrees Awards Granted'!$E$4:$O$25</definedName>
    <definedName name="_xlnm.Print_Area" localSheetId="5">'Enrollment 5YR'!$E$4:$N$56</definedName>
    <definedName name="_xlnm.Print_Area" localSheetId="10">'Faculty Trends'!$E$5:$N$67</definedName>
    <definedName name="_xlnm.Print_Area" localSheetId="20">'Financial Aid Literacy'!$E$6:$K$38</definedName>
    <definedName name="_xlnm.Print_Area" localSheetId="13">'First-Time Grad Rates'!$E$7:$P$49</definedName>
    <definedName name="_xlnm.Print_Area" localSheetId="6">'FULL Enrollment Beyond Fall'!$E$4:$L$32</definedName>
    <definedName name="_xlnm.Print_Area" localSheetId="8">'Geographic Diversity 5 Year'!$E$4:$N$38</definedName>
    <definedName name="_xlnm.Print_Area" localSheetId="21">'Research Expenditures'!$E$4:$O$34</definedName>
    <definedName name="_xlnm.Print_Area" localSheetId="12">Retention!$E$6:$O$34</definedName>
    <definedName name="_xlnm.Print_Area" localSheetId="18">'SOS Results Table 1'!$E$4:$M$39</definedName>
    <definedName name="_xlnm.Print_Area" localSheetId="19">'SOS Results Table 2'!$E$4:$M$43</definedName>
    <definedName name="_xlnm.Print_Area" localSheetId="11">'Staff Trends'!$E$5:$N$58</definedName>
    <definedName name="_xlnm.Print_Area" localSheetId="9">'Student Diversity 5 Year'!$E$5:$N$54</definedName>
    <definedName name="_xlnm.Print_Area" localSheetId="16">'SUNY Educ Outcomes'!$E$6:$O$43</definedName>
    <definedName name="_xlnm.Print_Area" localSheetId="1">'SUNY Excels 17'!$B$3:$Q$38</definedName>
    <definedName name="_xlnm.Print_Area" localSheetId="4">'SUNY Excels Dashboard'!$I$5:$U$67</definedName>
    <definedName name="_xlnm.Print_Area" localSheetId="3">'SUNY Excels Graphics (T)'!$Y$12:$AQ$128</definedName>
    <definedName name="_xlnm.Print_Area" localSheetId="15">'Time Credits to Degree'!$E$4:$N$46</definedName>
    <definedName name="_xlnm.Print_Area" localSheetId="14">'Transfer Grad Rates'!$E$7:$P$40</definedName>
    <definedName name="_xlnm.Print_Area" localSheetId="2">'Workbook Contents'!$D$2:$H$37</definedName>
    <definedName name="_xlnm.Print_Titles" localSheetId="22">'Alumni Philanthropy'!$4:$7</definedName>
    <definedName name="_xlnm.Print_Titles" localSheetId="7">'Applicant Acceptance'!$4:$7</definedName>
    <definedName name="_xlnm.Print_Titles" localSheetId="17">'Degrees Awards Granted'!$4:$7</definedName>
    <definedName name="_xlnm.Print_Titles" localSheetId="5">'Enrollment 5YR'!$4:$7</definedName>
    <definedName name="_xlnm.Print_Titles" localSheetId="10">'Faculty Trends'!$5:$8</definedName>
    <definedName name="_xlnm.Print_Titles" localSheetId="20">'Financial Aid Literacy'!$6:$9</definedName>
    <definedName name="_xlnm.Print_Titles" localSheetId="13">'First-Time Grad Rates'!$7:$10</definedName>
    <definedName name="_xlnm.Print_Titles" localSheetId="6">'FULL Enrollment Beyond Fall'!$4:$7</definedName>
    <definedName name="_xlnm.Print_Titles" localSheetId="8">'Geographic Diversity 5 Year'!$4:$7</definedName>
    <definedName name="_xlnm.Print_Titles" localSheetId="21">'Research Expenditures'!$4:$7</definedName>
    <definedName name="_xlnm.Print_Titles" localSheetId="12">Retention!$6:$9</definedName>
    <definedName name="_xlnm.Print_Titles" localSheetId="18">'SOS Results Table 1'!$4:$7</definedName>
    <definedName name="_xlnm.Print_Titles" localSheetId="19">'SOS Results Table 2'!$4:$6</definedName>
    <definedName name="_xlnm.Print_Titles" localSheetId="11">'Staff Trends'!$5:$8</definedName>
    <definedName name="_xlnm.Print_Titles" localSheetId="9">'Student Diversity 5 Year'!$5:$8</definedName>
    <definedName name="_xlnm.Print_Titles" localSheetId="16">'SUNY Educ Outcomes'!$6:$9</definedName>
    <definedName name="_xlnm.Print_Titles" localSheetId="4">'SUNY Excels Dashboard'!$5:$6</definedName>
    <definedName name="_xlnm.Print_Titles" localSheetId="15">'Time Credits to Degree'!$4:$7</definedName>
    <definedName name="_xlnm.Print_Titles" localSheetId="14">'Transfer Grad Rates'!$7:$10</definedName>
    <definedName name="SOS_Table2" localSheetId="23" hidden="1">'[1]10 - EmployeebyEthnicity FT PT'!#REF!</definedName>
    <definedName name="SOS_Table2" localSheetId="16" hidden="1">'[1]10 - EmployeebyEthnicity FT PT'!#REF!</definedName>
    <definedName name="SOS_Table2" localSheetId="4" hidden="1">'[1]10 - EmployeebyEthnicity FT PT'!#REF!</definedName>
    <definedName name="SOS_Table2" localSheetId="3" hidden="1">'[1]10 - EmployeebyEthnicity FT PT'!#REF!</definedName>
    <definedName name="SOS_Table2" hidden="1">'[1]10 - EmployeebyEthnicity FT PT'!#REF!</definedName>
    <definedName name="table" localSheetId="23">#REF!</definedName>
    <definedName name="table" localSheetId="16">#REF!</definedName>
    <definedName name="table" localSheetId="4">'SUNY Excels Dashboard'!$I$5:$P$32</definedName>
    <definedName name="table" localSheetId="3">'SUNY Excels Graphics (T)'!$Z$12:$AL$14</definedName>
    <definedName name="table">#REF!</definedName>
  </definedNames>
  <calcPr calcId="152511"/>
</workbook>
</file>

<file path=xl/calcChain.xml><?xml version="1.0" encoding="utf-8"?>
<calcChain xmlns="http://schemas.openxmlformats.org/spreadsheetml/2006/main">
  <c r="D1" i="83" l="1"/>
  <c r="E1" i="83" s="1"/>
  <c r="F1" i="83" s="1"/>
  <c r="G1" i="83" s="1"/>
  <c r="H1" i="83" s="1"/>
  <c r="I1" i="83" s="1"/>
  <c r="J1" i="83" s="1"/>
  <c r="K1" i="83"/>
  <c r="L1" i="83"/>
  <c r="M1" i="83" s="1"/>
  <c r="N1" i="83" s="1"/>
  <c r="O1" i="83" s="1"/>
  <c r="P1" i="83" s="1"/>
  <c r="Q1" i="83" s="1"/>
  <c r="R1" i="83" s="1"/>
  <c r="S1" i="83"/>
  <c r="T1" i="83"/>
  <c r="U1" i="83" s="1"/>
  <c r="L2" i="83"/>
  <c r="M2" i="83"/>
  <c r="N2" i="83"/>
  <c r="O2" i="83"/>
  <c r="P2" i="83"/>
  <c r="Q2" i="83"/>
  <c r="R2" i="83"/>
  <c r="S2" i="83"/>
  <c r="T2" i="83"/>
  <c r="U2" i="83"/>
  <c r="L3" i="83"/>
  <c r="M3" i="83"/>
  <c r="N3" i="83"/>
  <c r="O3" i="83"/>
  <c r="P3" i="83"/>
  <c r="Q3" i="83"/>
  <c r="T3" i="83"/>
  <c r="U3" i="83"/>
  <c r="A5" i="83"/>
  <c r="I5" i="83"/>
  <c r="C28" i="83" s="1"/>
  <c r="R5" i="83"/>
  <c r="B8" i="83"/>
  <c r="C8" i="83"/>
  <c r="D8" i="83"/>
  <c r="L8" i="83"/>
  <c r="M8" i="83"/>
  <c r="N8" i="83"/>
  <c r="O8" i="83"/>
  <c r="P8" i="83"/>
  <c r="Q8" i="83"/>
  <c r="S8" i="83" s="1"/>
  <c r="R8" i="83"/>
  <c r="C9" i="83"/>
  <c r="D9" i="83"/>
  <c r="J9" i="83"/>
  <c r="J10" i="83" s="1"/>
  <c r="L9" i="83"/>
  <c r="M9" i="83"/>
  <c r="N9" i="83"/>
  <c r="O9" i="83"/>
  <c r="P9" i="83"/>
  <c r="Q9" i="83"/>
  <c r="R9" i="83" s="1"/>
  <c r="C10" i="83"/>
  <c r="D10" i="83"/>
  <c r="D11" i="83" s="1"/>
  <c r="L10" i="83"/>
  <c r="M10" i="83"/>
  <c r="N10" i="83"/>
  <c r="O10" i="83"/>
  <c r="P10" i="83"/>
  <c r="Q10" i="83"/>
  <c r="S10" i="83" s="1"/>
  <c r="R10" i="83"/>
  <c r="C11" i="83"/>
  <c r="L11" i="83"/>
  <c r="M11" i="83"/>
  <c r="N11" i="83"/>
  <c r="O11" i="83"/>
  <c r="P11" i="83"/>
  <c r="Q11" i="83"/>
  <c r="R11" i="83" s="1"/>
  <c r="C12" i="83"/>
  <c r="D12" i="83"/>
  <c r="D13" i="83" s="1"/>
  <c r="L12" i="83"/>
  <c r="M12" i="83"/>
  <c r="N12" i="83"/>
  <c r="O12" i="83"/>
  <c r="P12" i="83"/>
  <c r="Q12" i="83"/>
  <c r="S12" i="83" s="1"/>
  <c r="R12" i="83"/>
  <c r="C13" i="83"/>
  <c r="L13" i="83"/>
  <c r="M13" i="83"/>
  <c r="N13" i="83"/>
  <c r="O13" i="83"/>
  <c r="P13" i="83"/>
  <c r="Q13" i="83"/>
  <c r="R13" i="83" s="1"/>
  <c r="C14" i="83"/>
  <c r="D14" i="83"/>
  <c r="D15" i="83" s="1"/>
  <c r="L14" i="83"/>
  <c r="M14" i="83"/>
  <c r="N14" i="83"/>
  <c r="O14" i="83"/>
  <c r="P14" i="83"/>
  <c r="Q14" i="83"/>
  <c r="S14" i="83" s="1"/>
  <c r="R14" i="83"/>
  <c r="B15" i="83"/>
  <c r="C15" i="83"/>
  <c r="L15" i="83"/>
  <c r="M15" i="83"/>
  <c r="N15" i="83"/>
  <c r="O15" i="83"/>
  <c r="P15" i="83"/>
  <c r="Q15" i="83"/>
  <c r="S15" i="83" s="1"/>
  <c r="R15" i="83"/>
  <c r="B16" i="83"/>
  <c r="L16" i="83"/>
  <c r="M16" i="83"/>
  <c r="N16" i="83"/>
  <c r="O16" i="83"/>
  <c r="P16" i="83"/>
  <c r="Q16" i="83"/>
  <c r="R16" i="83" s="1"/>
  <c r="B17" i="83"/>
  <c r="C17" i="83"/>
  <c r="D17" i="83"/>
  <c r="D18" i="83" s="1"/>
  <c r="D19" i="83" s="1"/>
  <c r="L17" i="83"/>
  <c r="M17" i="83"/>
  <c r="N17" i="83"/>
  <c r="O17" i="83"/>
  <c r="P17" i="83"/>
  <c r="Q17" i="83"/>
  <c r="R17" i="83"/>
  <c r="S17" i="83"/>
  <c r="C18" i="83"/>
  <c r="J18" i="83"/>
  <c r="B18" i="83" s="1"/>
  <c r="N18" i="83"/>
  <c r="O18" i="83"/>
  <c r="P18" i="83"/>
  <c r="Q18" i="83"/>
  <c r="J19" i="83"/>
  <c r="B19" i="83" s="1"/>
  <c r="L19" i="83"/>
  <c r="M19" i="83"/>
  <c r="N19" i="83"/>
  <c r="O19" i="83"/>
  <c r="P19" i="83"/>
  <c r="Q19" i="83"/>
  <c r="B20" i="83"/>
  <c r="B21" i="83"/>
  <c r="R21" i="83"/>
  <c r="C22" i="83"/>
  <c r="D22" i="83"/>
  <c r="K22" i="83"/>
  <c r="L22" i="83"/>
  <c r="M22" i="83"/>
  <c r="N22" i="83"/>
  <c r="O22" i="83"/>
  <c r="P22" i="83"/>
  <c r="Q22" i="83"/>
  <c r="C23" i="83"/>
  <c r="D23" i="83"/>
  <c r="L23" i="83"/>
  <c r="M23" i="83"/>
  <c r="N23" i="83"/>
  <c r="O23" i="83"/>
  <c r="P23" i="83"/>
  <c r="S23" i="83" s="1"/>
  <c r="R23" i="83"/>
  <c r="C24" i="83"/>
  <c r="D24" i="83"/>
  <c r="L24" i="83"/>
  <c r="R24" i="83" s="1"/>
  <c r="M24" i="83"/>
  <c r="N24" i="83"/>
  <c r="O24" i="83"/>
  <c r="P24" i="83"/>
  <c r="S24" i="83" s="1"/>
  <c r="C25" i="83"/>
  <c r="D25" i="83"/>
  <c r="D26" i="83" s="1"/>
  <c r="D27" i="83" s="1"/>
  <c r="D28" i="83" s="1"/>
  <c r="D29" i="83" s="1"/>
  <c r="L25" i="83"/>
  <c r="M25" i="83"/>
  <c r="N25" i="83"/>
  <c r="O25" i="83"/>
  <c r="P25" i="83"/>
  <c r="Q25" i="83"/>
  <c r="R25" i="83"/>
  <c r="S25" i="83"/>
  <c r="C26" i="83"/>
  <c r="L26" i="83"/>
  <c r="M26" i="83"/>
  <c r="N26" i="83"/>
  <c r="O26" i="83"/>
  <c r="P26" i="83"/>
  <c r="Q26" i="83"/>
  <c r="S26" i="83" s="1"/>
  <c r="R26" i="83"/>
  <c r="C27" i="83"/>
  <c r="L27" i="83"/>
  <c r="M27" i="83"/>
  <c r="N27" i="83"/>
  <c r="O27" i="83"/>
  <c r="P27" i="83"/>
  <c r="R27" i="83"/>
  <c r="S27" i="83"/>
  <c r="L28" i="83"/>
  <c r="M28" i="83"/>
  <c r="N28" i="83"/>
  <c r="O28" i="83"/>
  <c r="P28" i="83"/>
  <c r="L29" i="83"/>
  <c r="M29" i="83"/>
  <c r="N29" i="83"/>
  <c r="O29" i="83"/>
  <c r="P29" i="83"/>
  <c r="R29" i="83" s="1"/>
  <c r="C30" i="83"/>
  <c r="L30" i="83"/>
  <c r="M30" i="83"/>
  <c r="N30" i="83"/>
  <c r="O30" i="83"/>
  <c r="P30" i="83"/>
  <c r="R30" i="83"/>
  <c r="S30" i="83"/>
  <c r="C31" i="83"/>
  <c r="L31" i="83"/>
  <c r="R31" i="83" s="1"/>
  <c r="M31" i="83"/>
  <c r="N31" i="83"/>
  <c r="O31" i="83"/>
  <c r="P31" i="83"/>
  <c r="S31" i="83"/>
  <c r="C32" i="83"/>
  <c r="L32" i="83"/>
  <c r="M32" i="83"/>
  <c r="N32" i="83"/>
  <c r="O32" i="83"/>
  <c r="P32" i="83"/>
  <c r="B33" i="83"/>
  <c r="B34" i="83"/>
  <c r="C35" i="83"/>
  <c r="D35" i="83"/>
  <c r="L35" i="83"/>
  <c r="M35" i="83"/>
  <c r="N35" i="83"/>
  <c r="O35" i="83"/>
  <c r="P35" i="83"/>
  <c r="Q35" i="83"/>
  <c r="S35" i="83" s="1"/>
  <c r="R35" i="83"/>
  <c r="C36" i="83"/>
  <c r="D36" i="83"/>
  <c r="D37" i="83" s="1"/>
  <c r="D38" i="83" s="1"/>
  <c r="D39" i="83" s="1"/>
  <c r="D40" i="83" s="1"/>
  <c r="D41" i="83" s="1"/>
  <c r="D43" i="83" s="1"/>
  <c r="L36" i="83"/>
  <c r="N36" i="83"/>
  <c r="P36" i="83"/>
  <c r="R36" i="83" s="1"/>
  <c r="Q36" i="83"/>
  <c r="S36" i="83"/>
  <c r="C37" i="83"/>
  <c r="L37" i="83"/>
  <c r="M37" i="83"/>
  <c r="N37" i="83"/>
  <c r="O37" i="83"/>
  <c r="P37" i="83"/>
  <c r="Q37" i="83"/>
  <c r="L38" i="83"/>
  <c r="S38" i="83" s="1"/>
  <c r="M38" i="83"/>
  <c r="N38" i="83"/>
  <c r="O38" i="83"/>
  <c r="P38" i="83"/>
  <c r="R38" i="83" s="1"/>
  <c r="Q38" i="83"/>
  <c r="C39" i="83"/>
  <c r="L39" i="83"/>
  <c r="M39" i="83"/>
  <c r="N39" i="83"/>
  <c r="O39" i="83"/>
  <c r="P39" i="83"/>
  <c r="Q39" i="83"/>
  <c r="L40" i="83"/>
  <c r="N40" i="83"/>
  <c r="P40" i="83"/>
  <c r="C41" i="83"/>
  <c r="L41" i="83"/>
  <c r="R41" i="83" s="1"/>
  <c r="M41" i="83"/>
  <c r="N41" i="83"/>
  <c r="S41" i="83" s="1"/>
  <c r="C42" i="83"/>
  <c r="D42" i="83"/>
  <c r="R42" i="83"/>
  <c r="S42" i="83"/>
  <c r="R43" i="83"/>
  <c r="S43" i="83"/>
  <c r="B44" i="83"/>
  <c r="B45" i="83"/>
  <c r="D46" i="83"/>
  <c r="L46" i="83"/>
  <c r="M46" i="83"/>
  <c r="N46" i="83"/>
  <c r="O46" i="83"/>
  <c r="P46" i="83"/>
  <c r="R46" i="83" s="1"/>
  <c r="C47" i="83"/>
  <c r="D47" i="83"/>
  <c r="L47" i="83"/>
  <c r="M47" i="83"/>
  <c r="N47" i="83"/>
  <c r="O47" i="83"/>
  <c r="P47" i="83"/>
  <c r="R47" i="83"/>
  <c r="S47" i="83"/>
  <c r="C48" i="83"/>
  <c r="D48" i="83"/>
  <c r="L48" i="83"/>
  <c r="M48" i="83"/>
  <c r="N48" i="83"/>
  <c r="O48" i="83"/>
  <c r="P48" i="83"/>
  <c r="B49" i="83"/>
  <c r="B50" i="83"/>
  <c r="C51" i="83"/>
  <c r="D51" i="83"/>
  <c r="L51" i="83"/>
  <c r="M51" i="83"/>
  <c r="N51" i="83"/>
  <c r="O51" i="83"/>
  <c r="P51" i="83"/>
  <c r="R51" i="83"/>
  <c r="S51" i="83"/>
  <c r="C52" i="83"/>
  <c r="L52" i="83"/>
  <c r="R52" i="83" s="1"/>
  <c r="M52" i="83"/>
  <c r="N52" i="83"/>
  <c r="O52" i="83"/>
  <c r="P52" i="83"/>
  <c r="S52" i="83"/>
  <c r="B53" i="83"/>
  <c r="C53" i="83"/>
  <c r="B54" i="83"/>
  <c r="C54" i="83"/>
  <c r="D54" i="83"/>
  <c r="D55" i="83" s="1"/>
  <c r="D56" i="83" s="1"/>
  <c r="D57" i="83" s="1"/>
  <c r="D58" i="83" s="1"/>
  <c r="C55" i="83"/>
  <c r="S55" i="83"/>
  <c r="C56" i="83"/>
  <c r="S56" i="83"/>
  <c r="C57" i="83"/>
  <c r="S57" i="83"/>
  <c r="C58" i="83"/>
  <c r="S58" i="83"/>
  <c r="C59" i="83"/>
  <c r="D59" i="83"/>
  <c r="D60" i="83" s="1"/>
  <c r="D61" i="83" s="1"/>
  <c r="D62" i="83" s="1"/>
  <c r="S59" i="83"/>
  <c r="S60" i="83"/>
  <c r="S61" i="83"/>
  <c r="C62" i="83"/>
  <c r="S62" i="83"/>
  <c r="B63" i="83"/>
  <c r="C63" i="83"/>
  <c r="B64" i="83"/>
  <c r="D31" i="83" l="1"/>
  <c r="D30" i="83"/>
  <c r="D32" i="83" s="1"/>
  <c r="R37" i="83"/>
  <c r="S37" i="83"/>
  <c r="R40" i="83"/>
  <c r="S40" i="83"/>
  <c r="R39" i="83"/>
  <c r="S39" i="83"/>
  <c r="S19" i="83"/>
  <c r="R19" i="83"/>
  <c r="R48" i="83"/>
  <c r="S48" i="83"/>
  <c r="R18" i="83"/>
  <c r="S18" i="83"/>
  <c r="B10" i="83"/>
  <c r="J11" i="83"/>
  <c r="D52" i="83"/>
  <c r="D53" i="83"/>
  <c r="S32" i="83"/>
  <c r="R32" i="83"/>
  <c r="R28" i="83"/>
  <c r="S28" i="83"/>
  <c r="S22" i="83"/>
  <c r="R22" i="83"/>
  <c r="S46" i="83"/>
  <c r="S29" i="83"/>
  <c r="J22" i="83"/>
  <c r="S16" i="83"/>
  <c r="S13" i="83"/>
  <c r="S11" i="83"/>
  <c r="S9" i="83"/>
  <c r="C60" i="83"/>
  <c r="C46" i="83"/>
  <c r="C43" i="83"/>
  <c r="C40" i="83"/>
  <c r="C38" i="83"/>
  <c r="C29" i="83"/>
  <c r="C19" i="83"/>
  <c r="B9" i="83"/>
  <c r="C61" i="83"/>
  <c r="B22" i="83" l="1"/>
  <c r="J23" i="83"/>
  <c r="J12" i="83"/>
  <c r="B11" i="83"/>
  <c r="J13" i="83" l="1"/>
  <c r="B12" i="83"/>
  <c r="J24" i="83"/>
  <c r="B23" i="83"/>
  <c r="B24" i="83" l="1"/>
  <c r="J25" i="83"/>
  <c r="J14" i="83"/>
  <c r="B14" i="83" s="1"/>
  <c r="B13" i="83"/>
  <c r="J26" i="83" l="1"/>
  <c r="B25" i="83"/>
  <c r="B26" i="83" l="1"/>
  <c r="J27" i="83"/>
  <c r="J28" i="83" l="1"/>
  <c r="B27" i="83"/>
  <c r="J29" i="83" l="1"/>
  <c r="B28" i="83"/>
  <c r="J30" i="83" l="1"/>
  <c r="B29" i="83"/>
  <c r="O17" i="28"/>
  <c r="N17" i="28"/>
  <c r="B30" i="83" l="1"/>
  <c r="J31" i="83"/>
  <c r="M29" i="81"/>
  <c r="B31" i="83" l="1"/>
  <c r="J32" i="83"/>
  <c r="O14" i="81"/>
  <c r="N14" i="81"/>
  <c r="B32" i="83" l="1"/>
  <c r="J35" i="83"/>
  <c r="M14" i="81"/>
  <c r="B35" i="83" l="1"/>
  <c r="J36" i="83"/>
  <c r="N63" i="32"/>
  <c r="M63" i="32"/>
  <c r="J37" i="83" l="1"/>
  <c r="B36" i="83"/>
  <c r="I1" i="81"/>
  <c r="J1" i="81" s="1"/>
  <c r="K1" i="81" s="1"/>
  <c r="I2" i="81"/>
  <c r="J2" i="81" s="1"/>
  <c r="K2" i="81" s="1"/>
  <c r="I3" i="81"/>
  <c r="J3" i="81" s="1"/>
  <c r="K3" i="81" s="1"/>
  <c r="O3" i="81"/>
  <c r="I4" i="81"/>
  <c r="J4" i="81"/>
  <c r="K4" i="81" s="1"/>
  <c r="O4" i="81"/>
  <c r="L12" i="81"/>
  <c r="H14" i="81"/>
  <c r="H22" i="81" s="1"/>
  <c r="I14" i="81"/>
  <c r="J14" i="81"/>
  <c r="L14" i="81" s="1"/>
  <c r="M22" i="81"/>
  <c r="N22" i="81"/>
  <c r="O22" i="81"/>
  <c r="L15" i="81"/>
  <c r="L16" i="81"/>
  <c r="L17" i="81"/>
  <c r="L18" i="81"/>
  <c r="L19" i="81"/>
  <c r="L20" i="81"/>
  <c r="I22" i="81"/>
  <c r="J22" i="81"/>
  <c r="K22" i="81"/>
  <c r="L27" i="81"/>
  <c r="H29" i="81"/>
  <c r="H35" i="81" s="1"/>
  <c r="I29" i="81"/>
  <c r="I35" i="81" s="1"/>
  <c r="J29" i="81"/>
  <c r="J35" i="81" s="1"/>
  <c r="K29" i="81"/>
  <c r="L29" i="81" s="1"/>
  <c r="N29" i="81"/>
  <c r="O29" i="81"/>
  <c r="O35" i="81" s="1"/>
  <c r="L30" i="81"/>
  <c r="L31" i="81"/>
  <c r="L32" i="81"/>
  <c r="L33" i="81"/>
  <c r="K35" i="81"/>
  <c r="M35" i="81"/>
  <c r="N35" i="81"/>
  <c r="N9" i="21"/>
  <c r="M204" i="80" s="1"/>
  <c r="O9" i="21"/>
  <c r="P69" i="76"/>
  <c r="P117" i="76"/>
  <c r="P119" i="76"/>
  <c r="P120" i="76"/>
  <c r="P121" i="76"/>
  <c r="P122" i="76"/>
  <c r="P124" i="76"/>
  <c r="P125" i="76"/>
  <c r="P126" i="76"/>
  <c r="P127" i="76"/>
  <c r="P128" i="76"/>
  <c r="P129" i="76"/>
  <c r="P130" i="76"/>
  <c r="P131" i="76"/>
  <c r="P133" i="76"/>
  <c r="P134" i="76"/>
  <c r="P135" i="76"/>
  <c r="P136" i="76"/>
  <c r="P137" i="76"/>
  <c r="P138" i="76"/>
  <c r="P139" i="76"/>
  <c r="P140" i="76"/>
  <c r="P141" i="76"/>
  <c r="P142" i="76"/>
  <c r="P144" i="76"/>
  <c r="P145" i="76"/>
  <c r="P146" i="76"/>
  <c r="P147" i="76"/>
  <c r="P148" i="76"/>
  <c r="P149" i="76"/>
  <c r="P150" i="76"/>
  <c r="P151" i="76"/>
  <c r="P154" i="76"/>
  <c r="P155" i="76"/>
  <c r="P156" i="76"/>
  <c r="P157" i="76"/>
  <c r="P158" i="76"/>
  <c r="P159" i="76"/>
  <c r="P179" i="76"/>
  <c r="P180" i="76"/>
  <c r="P181" i="76"/>
  <c r="P182" i="76"/>
  <c r="P183" i="76"/>
  <c r="P184" i="76"/>
  <c r="P185" i="76"/>
  <c r="P186" i="76"/>
  <c r="P187" i="76"/>
  <c r="P188" i="76"/>
  <c r="P189" i="76"/>
  <c r="P190" i="76"/>
  <c r="P192" i="76"/>
  <c r="P193" i="76"/>
  <c r="P195" i="76"/>
  <c r="P196" i="76"/>
  <c r="P197" i="76"/>
  <c r="P198" i="76"/>
  <c r="P199" i="76"/>
  <c r="P200" i="76"/>
  <c r="P201" i="76"/>
  <c r="P203" i="76"/>
  <c r="P204" i="76"/>
  <c r="P205" i="76"/>
  <c r="P206" i="76"/>
  <c r="P207" i="76"/>
  <c r="P208" i="76"/>
  <c r="P209" i="76"/>
  <c r="P210" i="76"/>
  <c r="P211" i="76"/>
  <c r="P212" i="76"/>
  <c r="P213" i="76"/>
  <c r="P214" i="76"/>
  <c r="P215" i="76"/>
  <c r="P216" i="76"/>
  <c r="P217" i="76"/>
  <c r="P218" i="76"/>
  <c r="P219" i="76"/>
  <c r="P220" i="76"/>
  <c r="P221" i="76"/>
  <c r="P223" i="76"/>
  <c r="P224" i="76"/>
  <c r="P225" i="76"/>
  <c r="P226" i="76"/>
  <c r="P227" i="76"/>
  <c r="P228" i="76"/>
  <c r="P229" i="76"/>
  <c r="P230" i="76"/>
  <c r="P231" i="76"/>
  <c r="P232" i="76"/>
  <c r="P233" i="76"/>
  <c r="P234" i="76"/>
  <c r="P235" i="76"/>
  <c r="P236" i="76"/>
  <c r="P237" i="76"/>
  <c r="P238" i="76"/>
  <c r="P239" i="76"/>
  <c r="P240" i="76"/>
  <c r="P241" i="76"/>
  <c r="P242" i="76"/>
  <c r="P243" i="76"/>
  <c r="P244" i="76"/>
  <c r="P245" i="76"/>
  <c r="P246" i="76"/>
  <c r="P247" i="76"/>
  <c r="P249" i="76"/>
  <c r="P250" i="76"/>
  <c r="P253" i="76"/>
  <c r="P254" i="76"/>
  <c r="P255" i="76"/>
  <c r="P256" i="76"/>
  <c r="P257" i="76"/>
  <c r="P258" i="76"/>
  <c r="L63" i="80"/>
  <c r="L100" i="80"/>
  <c r="L102" i="80"/>
  <c r="L104" i="80"/>
  <c r="L105" i="80"/>
  <c r="L106" i="80"/>
  <c r="L107" i="80"/>
  <c r="L108" i="80"/>
  <c r="L109" i="80"/>
  <c r="L110" i="80"/>
  <c r="L111" i="80"/>
  <c r="L113" i="80"/>
  <c r="L114" i="80"/>
  <c r="L115" i="80"/>
  <c r="L116" i="80"/>
  <c r="L117" i="80"/>
  <c r="L118" i="80"/>
  <c r="L119" i="80"/>
  <c r="L120" i="80"/>
  <c r="L131" i="80"/>
  <c r="L132" i="80"/>
  <c r="L133" i="80"/>
  <c r="L134" i="80"/>
  <c r="L135" i="80"/>
  <c r="L136" i="80"/>
  <c r="L137" i="80"/>
  <c r="L138" i="80"/>
  <c r="L139" i="80"/>
  <c r="L140" i="80"/>
  <c r="L141" i="80"/>
  <c r="L142" i="80"/>
  <c r="L144" i="80"/>
  <c r="L145" i="80"/>
  <c r="L146" i="80"/>
  <c r="L147" i="80"/>
  <c r="L148" i="80"/>
  <c r="L149" i="80"/>
  <c r="L150" i="80"/>
  <c r="L152" i="80"/>
  <c r="L153" i="80"/>
  <c r="L154" i="80"/>
  <c r="L155" i="80"/>
  <c r="L156" i="80"/>
  <c r="L157" i="80"/>
  <c r="L158" i="80"/>
  <c r="L159" i="80"/>
  <c r="L160" i="80"/>
  <c r="L161" i="80"/>
  <c r="L162" i="80"/>
  <c r="L163" i="80"/>
  <c r="L164" i="80"/>
  <c r="L165" i="80"/>
  <c r="L166" i="80"/>
  <c r="L167" i="80"/>
  <c r="L168" i="80"/>
  <c r="L169" i="80"/>
  <c r="L170" i="80"/>
  <c r="L172" i="80"/>
  <c r="L173" i="80"/>
  <c r="L174" i="80"/>
  <c r="L175" i="80"/>
  <c r="L176" i="80"/>
  <c r="L177" i="80"/>
  <c r="L178" i="80"/>
  <c r="L179" i="80"/>
  <c r="L180" i="80"/>
  <c r="L181" i="80"/>
  <c r="L182" i="80"/>
  <c r="L183" i="80"/>
  <c r="L184" i="80"/>
  <c r="L185" i="80"/>
  <c r="L186" i="80"/>
  <c r="L187" i="80"/>
  <c r="L188" i="80"/>
  <c r="L189" i="80"/>
  <c r="L190" i="80"/>
  <c r="L191" i="80"/>
  <c r="L192" i="80"/>
  <c r="L193" i="80"/>
  <c r="L194" i="80"/>
  <c r="L195" i="80"/>
  <c r="L196" i="80"/>
  <c r="L198" i="80"/>
  <c r="L199" i="80"/>
  <c r="L202" i="80"/>
  <c r="J165" i="80"/>
  <c r="J164" i="80"/>
  <c r="J159" i="80"/>
  <c r="J158" i="80"/>
  <c r="L1" i="80"/>
  <c r="N227" i="80"/>
  <c r="M227" i="80"/>
  <c r="I227" i="80"/>
  <c r="G227" i="80"/>
  <c r="C227" i="80"/>
  <c r="N226" i="80"/>
  <c r="M226" i="80"/>
  <c r="I226" i="80"/>
  <c r="G226" i="80"/>
  <c r="C226" i="80"/>
  <c r="N224" i="80"/>
  <c r="M224" i="80"/>
  <c r="I224" i="80"/>
  <c r="G224" i="80"/>
  <c r="C224" i="80"/>
  <c r="N223" i="80"/>
  <c r="M223" i="80"/>
  <c r="I223" i="80"/>
  <c r="G223" i="80"/>
  <c r="C223" i="80"/>
  <c r="N222" i="80"/>
  <c r="M222" i="80"/>
  <c r="I222" i="80"/>
  <c r="G222" i="80"/>
  <c r="C222" i="80"/>
  <c r="N221" i="80"/>
  <c r="M221" i="80"/>
  <c r="I221" i="80"/>
  <c r="G221" i="80"/>
  <c r="C221" i="80"/>
  <c r="N220" i="80"/>
  <c r="M220" i="80"/>
  <c r="I220" i="80"/>
  <c r="G220" i="80"/>
  <c r="C220" i="80"/>
  <c r="N218" i="80"/>
  <c r="M218" i="80"/>
  <c r="I218" i="80"/>
  <c r="G218" i="80"/>
  <c r="C218" i="80"/>
  <c r="N217" i="80"/>
  <c r="M217" i="80"/>
  <c r="I217" i="80"/>
  <c r="G217" i="80"/>
  <c r="C217" i="80"/>
  <c r="N216" i="80"/>
  <c r="M216" i="80"/>
  <c r="I216" i="80"/>
  <c r="G216" i="80"/>
  <c r="C216" i="80"/>
  <c r="N215" i="80"/>
  <c r="M215" i="80"/>
  <c r="I215" i="80"/>
  <c r="G215" i="80"/>
  <c r="C215" i="80"/>
  <c r="N214" i="80"/>
  <c r="M214" i="80"/>
  <c r="J214" i="80"/>
  <c r="I214" i="80"/>
  <c r="G214" i="80"/>
  <c r="C214" i="80"/>
  <c r="N213" i="80"/>
  <c r="M213" i="80"/>
  <c r="J213" i="80"/>
  <c r="I213" i="80"/>
  <c r="G213" i="80"/>
  <c r="C213" i="80"/>
  <c r="N212" i="80"/>
  <c r="M212" i="80"/>
  <c r="J212" i="80"/>
  <c r="I212" i="80"/>
  <c r="G212" i="80"/>
  <c r="C212" i="80"/>
  <c r="N211" i="80"/>
  <c r="M211" i="80"/>
  <c r="J211" i="80"/>
  <c r="I211" i="80"/>
  <c r="G211" i="80"/>
  <c r="C211" i="80"/>
  <c r="N210" i="80"/>
  <c r="M210" i="80"/>
  <c r="J210" i="80"/>
  <c r="I210" i="80"/>
  <c r="G210" i="80"/>
  <c r="C210" i="80"/>
  <c r="N209" i="80"/>
  <c r="M209" i="80"/>
  <c r="J209" i="80"/>
  <c r="I209" i="80"/>
  <c r="G209" i="80"/>
  <c r="C209" i="80"/>
  <c r="J208" i="80"/>
  <c r="I208" i="80"/>
  <c r="G208" i="80"/>
  <c r="C208" i="80"/>
  <c r="N207" i="80"/>
  <c r="M207" i="80"/>
  <c r="I207" i="80"/>
  <c r="G207" i="80"/>
  <c r="C207" i="80"/>
  <c r="N206" i="80"/>
  <c r="M206" i="80"/>
  <c r="I206" i="80"/>
  <c r="G206" i="80"/>
  <c r="C206" i="80"/>
  <c r="N205" i="80"/>
  <c r="M205" i="80"/>
  <c r="I205" i="80"/>
  <c r="G205" i="80"/>
  <c r="C205" i="80"/>
  <c r="N204" i="80"/>
  <c r="I204" i="80"/>
  <c r="G204" i="80"/>
  <c r="C204" i="80"/>
  <c r="N202" i="80"/>
  <c r="M202" i="80"/>
  <c r="J202" i="80"/>
  <c r="I202" i="80"/>
  <c r="G202" i="80"/>
  <c r="C202" i="80"/>
  <c r="N201" i="80"/>
  <c r="M201" i="80"/>
  <c r="J201" i="80"/>
  <c r="I201" i="80"/>
  <c r="G201" i="80"/>
  <c r="C201" i="80"/>
  <c r="N200" i="80"/>
  <c r="M200" i="80"/>
  <c r="J200" i="80"/>
  <c r="I200" i="80"/>
  <c r="G200" i="80"/>
  <c r="C200" i="80"/>
  <c r="N199" i="80"/>
  <c r="M199" i="80"/>
  <c r="J199" i="80"/>
  <c r="I199" i="80"/>
  <c r="G199" i="80"/>
  <c r="C199" i="80"/>
  <c r="N198" i="80"/>
  <c r="M198" i="80"/>
  <c r="J198" i="80"/>
  <c r="I198" i="80"/>
  <c r="G198" i="80"/>
  <c r="C198" i="80"/>
  <c r="M196" i="80"/>
  <c r="I196" i="80"/>
  <c r="G196" i="80"/>
  <c r="C196" i="80"/>
  <c r="M195" i="80"/>
  <c r="I195" i="80"/>
  <c r="G195" i="80"/>
  <c r="C195" i="80"/>
  <c r="M194" i="80"/>
  <c r="I194" i="80"/>
  <c r="G194" i="80"/>
  <c r="C194" i="80"/>
  <c r="M193" i="80"/>
  <c r="I193" i="80"/>
  <c r="G193" i="80"/>
  <c r="C193" i="80"/>
  <c r="M192" i="80"/>
  <c r="I192" i="80"/>
  <c r="G192" i="80"/>
  <c r="C192" i="80"/>
  <c r="M191" i="80"/>
  <c r="I191" i="80"/>
  <c r="G191" i="80"/>
  <c r="C191" i="80"/>
  <c r="M190" i="80"/>
  <c r="I190" i="80"/>
  <c r="G190" i="80"/>
  <c r="C190" i="80"/>
  <c r="M189" i="80"/>
  <c r="I189" i="80"/>
  <c r="G189" i="80"/>
  <c r="C189" i="80"/>
  <c r="M188" i="80"/>
  <c r="I188" i="80"/>
  <c r="G188" i="80"/>
  <c r="C188" i="80"/>
  <c r="M187" i="80"/>
  <c r="I187" i="80"/>
  <c r="G187" i="80"/>
  <c r="C187" i="80"/>
  <c r="M186" i="80"/>
  <c r="I186" i="80"/>
  <c r="G186" i="80"/>
  <c r="C186" i="80"/>
  <c r="M185" i="80"/>
  <c r="I185" i="80"/>
  <c r="G185" i="80"/>
  <c r="C185" i="80"/>
  <c r="M184" i="80"/>
  <c r="I184" i="80"/>
  <c r="G184" i="80"/>
  <c r="C184" i="80"/>
  <c r="M183" i="80"/>
  <c r="I183" i="80"/>
  <c r="G183" i="80"/>
  <c r="C183" i="80"/>
  <c r="M182" i="80"/>
  <c r="I182" i="80"/>
  <c r="G182" i="80"/>
  <c r="C182" i="80"/>
  <c r="M181" i="80"/>
  <c r="I181" i="80"/>
  <c r="G181" i="80"/>
  <c r="C181" i="80"/>
  <c r="M180" i="80"/>
  <c r="I180" i="80"/>
  <c r="G180" i="80"/>
  <c r="C180" i="80"/>
  <c r="M179" i="80"/>
  <c r="I179" i="80"/>
  <c r="G179" i="80"/>
  <c r="C179" i="80"/>
  <c r="M178" i="80"/>
  <c r="I178" i="80"/>
  <c r="G178" i="80"/>
  <c r="C178" i="80"/>
  <c r="M177" i="80"/>
  <c r="I177" i="80"/>
  <c r="G177" i="80"/>
  <c r="C177" i="80"/>
  <c r="M176" i="80"/>
  <c r="I176" i="80"/>
  <c r="G176" i="80"/>
  <c r="C176" i="80"/>
  <c r="M175" i="80"/>
  <c r="I175" i="80"/>
  <c r="G175" i="80"/>
  <c r="C175" i="80"/>
  <c r="M174" i="80"/>
  <c r="I174" i="80"/>
  <c r="G174" i="80"/>
  <c r="C174" i="80"/>
  <c r="M173" i="80"/>
  <c r="I173" i="80"/>
  <c r="G173" i="80"/>
  <c r="C173" i="80"/>
  <c r="M172" i="80"/>
  <c r="I172" i="80"/>
  <c r="G172" i="80"/>
  <c r="C172" i="80"/>
  <c r="M170" i="80"/>
  <c r="I170" i="80"/>
  <c r="G170" i="80"/>
  <c r="C170" i="80"/>
  <c r="M169" i="80"/>
  <c r="I169" i="80"/>
  <c r="G169" i="80"/>
  <c r="C169" i="80"/>
  <c r="M168" i="80"/>
  <c r="I168" i="80"/>
  <c r="G168" i="80"/>
  <c r="C168" i="80"/>
  <c r="M167" i="80"/>
  <c r="I167" i="80"/>
  <c r="G167" i="80"/>
  <c r="C167" i="80"/>
  <c r="M166" i="80"/>
  <c r="I166" i="80"/>
  <c r="G166" i="80"/>
  <c r="C166" i="80"/>
  <c r="M165" i="80"/>
  <c r="I165" i="80"/>
  <c r="G165" i="80"/>
  <c r="C165" i="80"/>
  <c r="M164" i="80"/>
  <c r="I164" i="80"/>
  <c r="G164" i="80"/>
  <c r="C164" i="80"/>
  <c r="M163" i="80"/>
  <c r="I163" i="80"/>
  <c r="G163" i="80"/>
  <c r="C163" i="80"/>
  <c r="M162" i="80"/>
  <c r="I162" i="80"/>
  <c r="G162" i="80"/>
  <c r="C162" i="80"/>
  <c r="M161" i="80"/>
  <c r="I161" i="80"/>
  <c r="G161" i="80"/>
  <c r="C161" i="80"/>
  <c r="M160" i="80"/>
  <c r="I160" i="80"/>
  <c r="G160" i="80"/>
  <c r="C160" i="80"/>
  <c r="M159" i="80"/>
  <c r="I159" i="80"/>
  <c r="G159" i="80"/>
  <c r="C159" i="80"/>
  <c r="M158" i="80"/>
  <c r="I158" i="80"/>
  <c r="G158" i="80"/>
  <c r="C158" i="80"/>
  <c r="M157" i="80"/>
  <c r="I157" i="80"/>
  <c r="G157" i="80"/>
  <c r="C157" i="80"/>
  <c r="M156" i="80"/>
  <c r="I156" i="80"/>
  <c r="G156" i="80"/>
  <c r="C156" i="80"/>
  <c r="M155" i="80"/>
  <c r="I155" i="80"/>
  <c r="G155" i="80"/>
  <c r="C155" i="80"/>
  <c r="M154" i="80"/>
  <c r="I154" i="80"/>
  <c r="G154" i="80"/>
  <c r="C154" i="80"/>
  <c r="M153" i="80"/>
  <c r="I153" i="80"/>
  <c r="G153" i="80"/>
  <c r="C153" i="80"/>
  <c r="M152" i="80"/>
  <c r="I152" i="80"/>
  <c r="G152" i="80"/>
  <c r="C152" i="80"/>
  <c r="N150" i="80"/>
  <c r="M150" i="80"/>
  <c r="I150" i="80"/>
  <c r="G150" i="80"/>
  <c r="C150" i="80"/>
  <c r="N149" i="80"/>
  <c r="M149" i="80"/>
  <c r="I149" i="80"/>
  <c r="G149" i="80"/>
  <c r="C149" i="80"/>
  <c r="N148" i="80"/>
  <c r="M148" i="80"/>
  <c r="I148" i="80"/>
  <c r="G148" i="80"/>
  <c r="C148" i="80"/>
  <c r="N147" i="80"/>
  <c r="M147" i="80"/>
  <c r="I147" i="80"/>
  <c r="G147" i="80"/>
  <c r="C147" i="80"/>
  <c r="N146" i="80"/>
  <c r="M146" i="80"/>
  <c r="I146" i="80"/>
  <c r="G146" i="80"/>
  <c r="C146" i="80"/>
  <c r="N145" i="80"/>
  <c r="M145" i="80"/>
  <c r="I145" i="80"/>
  <c r="G145" i="80"/>
  <c r="C145" i="80"/>
  <c r="N144" i="80"/>
  <c r="M144" i="80"/>
  <c r="I144" i="80"/>
  <c r="G144" i="80"/>
  <c r="C144" i="80"/>
  <c r="N142" i="80"/>
  <c r="M142" i="80"/>
  <c r="I142" i="80"/>
  <c r="G142" i="80"/>
  <c r="C142" i="80"/>
  <c r="N141" i="80"/>
  <c r="M141" i="80"/>
  <c r="I141" i="80"/>
  <c r="G141" i="80"/>
  <c r="C141" i="80"/>
  <c r="N140" i="80"/>
  <c r="M140" i="80"/>
  <c r="I140" i="80"/>
  <c r="G140" i="80"/>
  <c r="C140" i="80"/>
  <c r="N139" i="80"/>
  <c r="M139" i="80"/>
  <c r="I139" i="80"/>
  <c r="G139" i="80"/>
  <c r="C139" i="80"/>
  <c r="N138" i="80"/>
  <c r="M138" i="80"/>
  <c r="I138" i="80"/>
  <c r="G138" i="80"/>
  <c r="C138" i="80"/>
  <c r="N137" i="80"/>
  <c r="M137" i="80"/>
  <c r="I137" i="80"/>
  <c r="G137" i="80"/>
  <c r="C137" i="80"/>
  <c r="N136" i="80"/>
  <c r="M136" i="80"/>
  <c r="I136" i="80"/>
  <c r="G136" i="80"/>
  <c r="C136" i="80"/>
  <c r="N135" i="80"/>
  <c r="M135" i="80"/>
  <c r="I135" i="80"/>
  <c r="G135" i="80"/>
  <c r="C135" i="80"/>
  <c r="N134" i="80"/>
  <c r="M134" i="80"/>
  <c r="I134" i="80"/>
  <c r="G134" i="80"/>
  <c r="C134" i="80"/>
  <c r="N133" i="80"/>
  <c r="M133" i="80"/>
  <c r="I133" i="80"/>
  <c r="G133" i="80"/>
  <c r="C133" i="80"/>
  <c r="N132" i="80"/>
  <c r="M132" i="80"/>
  <c r="I132" i="80"/>
  <c r="G132" i="80"/>
  <c r="C132" i="80"/>
  <c r="M131" i="80"/>
  <c r="I131" i="80"/>
  <c r="G131" i="80"/>
  <c r="C131" i="80"/>
  <c r="N129" i="80"/>
  <c r="M129" i="80"/>
  <c r="I129" i="80"/>
  <c r="G129" i="80"/>
  <c r="C129" i="80"/>
  <c r="N128" i="80"/>
  <c r="M128" i="80"/>
  <c r="I128" i="80"/>
  <c r="G128" i="80"/>
  <c r="C128" i="80"/>
  <c r="N127" i="80"/>
  <c r="M127" i="80"/>
  <c r="I127" i="80"/>
  <c r="G127" i="80"/>
  <c r="C127" i="80"/>
  <c r="N126" i="80"/>
  <c r="M126" i="80"/>
  <c r="I126" i="80"/>
  <c r="G126" i="80"/>
  <c r="C126" i="80"/>
  <c r="N125" i="80"/>
  <c r="M125" i="80"/>
  <c r="I125" i="80"/>
  <c r="G125" i="80"/>
  <c r="C125" i="80"/>
  <c r="N124" i="80"/>
  <c r="M124" i="80"/>
  <c r="I124" i="80"/>
  <c r="G124" i="80"/>
  <c r="C124" i="80"/>
  <c r="N123" i="80"/>
  <c r="M123" i="80"/>
  <c r="I123" i="80"/>
  <c r="G123" i="80"/>
  <c r="C123" i="80"/>
  <c r="N122" i="80"/>
  <c r="M122" i="80"/>
  <c r="I122" i="80"/>
  <c r="G122" i="80"/>
  <c r="C122" i="80"/>
  <c r="N120" i="80"/>
  <c r="M120" i="80"/>
  <c r="I120" i="80"/>
  <c r="G120" i="80"/>
  <c r="C120" i="80"/>
  <c r="N119" i="80"/>
  <c r="M119" i="80"/>
  <c r="I119" i="80"/>
  <c r="G119" i="80"/>
  <c r="C119" i="80"/>
  <c r="N118" i="80"/>
  <c r="M118" i="80"/>
  <c r="I118" i="80"/>
  <c r="G118" i="80"/>
  <c r="C118" i="80"/>
  <c r="N117" i="80"/>
  <c r="M117" i="80"/>
  <c r="I117" i="80"/>
  <c r="G117" i="80"/>
  <c r="C117" i="80"/>
  <c r="N116" i="80"/>
  <c r="M116" i="80"/>
  <c r="I116" i="80"/>
  <c r="G116" i="80"/>
  <c r="C116" i="80"/>
  <c r="N115" i="80"/>
  <c r="M115" i="80"/>
  <c r="I115" i="80"/>
  <c r="G115" i="80"/>
  <c r="C115" i="80"/>
  <c r="N114" i="80"/>
  <c r="M114" i="80"/>
  <c r="I114" i="80"/>
  <c r="G114" i="80"/>
  <c r="C114" i="80"/>
  <c r="N113" i="80"/>
  <c r="M113" i="80"/>
  <c r="I113" i="80"/>
  <c r="G113" i="80"/>
  <c r="C113" i="80"/>
  <c r="N111" i="80"/>
  <c r="M111" i="80"/>
  <c r="I111" i="80"/>
  <c r="G111" i="80"/>
  <c r="C111" i="80"/>
  <c r="N110" i="80"/>
  <c r="M110" i="80"/>
  <c r="I110" i="80"/>
  <c r="G110" i="80"/>
  <c r="C110" i="80"/>
  <c r="N109" i="80"/>
  <c r="M109" i="80"/>
  <c r="I109" i="80"/>
  <c r="G109" i="80"/>
  <c r="C109" i="80"/>
  <c r="N108" i="80"/>
  <c r="M108" i="80"/>
  <c r="I108" i="80"/>
  <c r="G108" i="80"/>
  <c r="C108" i="80"/>
  <c r="N107" i="80"/>
  <c r="M107" i="80"/>
  <c r="I107" i="80"/>
  <c r="G107" i="80"/>
  <c r="C107" i="80"/>
  <c r="N106" i="80"/>
  <c r="M106" i="80"/>
  <c r="I106" i="80"/>
  <c r="G106" i="80"/>
  <c r="C106" i="80"/>
  <c r="N105" i="80"/>
  <c r="M105" i="80"/>
  <c r="I105" i="80"/>
  <c r="G105" i="80"/>
  <c r="C105" i="80"/>
  <c r="N104" i="80"/>
  <c r="M104" i="80"/>
  <c r="I104" i="80"/>
  <c r="G104" i="80"/>
  <c r="C104" i="80"/>
  <c r="N102" i="80"/>
  <c r="M102" i="80"/>
  <c r="I102" i="80"/>
  <c r="G102" i="80"/>
  <c r="C102" i="80"/>
  <c r="N101" i="80"/>
  <c r="M101" i="80"/>
  <c r="I101" i="80"/>
  <c r="G101" i="80"/>
  <c r="C101" i="80"/>
  <c r="N100" i="80"/>
  <c r="M100" i="80"/>
  <c r="I100" i="80"/>
  <c r="G100" i="80"/>
  <c r="C100" i="80"/>
  <c r="N99" i="80"/>
  <c r="M99" i="80"/>
  <c r="I99" i="80"/>
  <c r="G99" i="80"/>
  <c r="C99" i="80"/>
  <c r="N97" i="80"/>
  <c r="M97" i="80"/>
  <c r="I97" i="80"/>
  <c r="G97" i="80"/>
  <c r="C97" i="80"/>
  <c r="N96" i="80"/>
  <c r="M96" i="80"/>
  <c r="I96" i="80"/>
  <c r="G96" i="80"/>
  <c r="C96" i="80"/>
  <c r="N95" i="80"/>
  <c r="M95" i="80"/>
  <c r="I95" i="80"/>
  <c r="G95" i="80"/>
  <c r="C95" i="80"/>
  <c r="N94" i="80"/>
  <c r="M94" i="80"/>
  <c r="I94" i="80"/>
  <c r="G94" i="80"/>
  <c r="C94" i="80"/>
  <c r="N93" i="80"/>
  <c r="M93" i="80"/>
  <c r="I93" i="80"/>
  <c r="G93" i="80"/>
  <c r="C93" i="80"/>
  <c r="N92" i="80"/>
  <c r="M92" i="80"/>
  <c r="I92" i="80"/>
  <c r="G92" i="80"/>
  <c r="C92" i="80"/>
  <c r="N91" i="80"/>
  <c r="M91" i="80"/>
  <c r="I91" i="80"/>
  <c r="G91" i="80"/>
  <c r="C91" i="80"/>
  <c r="N90" i="80"/>
  <c r="M90" i="80"/>
  <c r="I90" i="80"/>
  <c r="G90" i="80"/>
  <c r="C90" i="80"/>
  <c r="N89" i="80"/>
  <c r="M89" i="80"/>
  <c r="I89" i="80"/>
  <c r="G89" i="80"/>
  <c r="C89" i="80"/>
  <c r="N88" i="80"/>
  <c r="M88" i="80"/>
  <c r="I88" i="80"/>
  <c r="G88" i="80"/>
  <c r="C88" i="80"/>
  <c r="N87" i="80"/>
  <c r="M87" i="80"/>
  <c r="I87" i="80"/>
  <c r="G87" i="80"/>
  <c r="C87" i="80"/>
  <c r="N86" i="80"/>
  <c r="M86" i="80"/>
  <c r="I86" i="80"/>
  <c r="G86" i="80"/>
  <c r="C86" i="80"/>
  <c r="N85" i="80"/>
  <c r="M85" i="80"/>
  <c r="I85" i="80"/>
  <c r="G85" i="80"/>
  <c r="C85" i="80"/>
  <c r="N84" i="80"/>
  <c r="M84" i="80"/>
  <c r="I84" i="80"/>
  <c r="G84" i="80"/>
  <c r="C84" i="80"/>
  <c r="N82" i="80"/>
  <c r="M82" i="80"/>
  <c r="I82" i="80"/>
  <c r="G82" i="80"/>
  <c r="C82" i="80"/>
  <c r="I81" i="80"/>
  <c r="G81" i="80"/>
  <c r="C81" i="80"/>
  <c r="N80" i="80"/>
  <c r="M80" i="80"/>
  <c r="I80" i="80"/>
  <c r="G80" i="80"/>
  <c r="C80" i="80"/>
  <c r="N79" i="80"/>
  <c r="M79" i="80"/>
  <c r="I79" i="80"/>
  <c r="G79" i="80"/>
  <c r="C79" i="80"/>
  <c r="N78" i="80"/>
  <c r="M78" i="80"/>
  <c r="I78" i="80"/>
  <c r="G78" i="80"/>
  <c r="C78" i="80"/>
  <c r="N77" i="80"/>
  <c r="M77" i="80"/>
  <c r="I77" i="80"/>
  <c r="G77" i="80"/>
  <c r="C77" i="80"/>
  <c r="N76" i="80"/>
  <c r="M76" i="80"/>
  <c r="I76" i="80"/>
  <c r="G76" i="80"/>
  <c r="C76" i="80"/>
  <c r="N75" i="80"/>
  <c r="M75" i="80"/>
  <c r="I75" i="80"/>
  <c r="G75" i="80"/>
  <c r="C75" i="80"/>
  <c r="N74" i="80"/>
  <c r="M74" i="80"/>
  <c r="I74" i="80"/>
  <c r="G74" i="80"/>
  <c r="C74" i="80"/>
  <c r="N73" i="80"/>
  <c r="M73" i="80"/>
  <c r="I73" i="80"/>
  <c r="G73" i="80"/>
  <c r="C73" i="80"/>
  <c r="I72" i="80"/>
  <c r="G72" i="80"/>
  <c r="C72" i="80"/>
  <c r="N71" i="80"/>
  <c r="M71" i="80"/>
  <c r="I71" i="80"/>
  <c r="G71" i="80"/>
  <c r="C71" i="80"/>
  <c r="I70" i="80"/>
  <c r="G70" i="80"/>
  <c r="C70" i="80"/>
  <c r="N69" i="80"/>
  <c r="M69" i="80"/>
  <c r="I69" i="80"/>
  <c r="G69" i="80"/>
  <c r="C69" i="80"/>
  <c r="N68" i="80"/>
  <c r="M68" i="80"/>
  <c r="I68" i="80"/>
  <c r="G68" i="80"/>
  <c r="C68" i="80"/>
  <c r="I67" i="80"/>
  <c r="G67" i="80"/>
  <c r="C67" i="80"/>
  <c r="N66" i="80"/>
  <c r="M66" i="80"/>
  <c r="I66" i="80"/>
  <c r="G66" i="80"/>
  <c r="C66" i="80"/>
  <c r="I65" i="80"/>
  <c r="G65" i="80"/>
  <c r="C65" i="80"/>
  <c r="N63" i="80"/>
  <c r="M63" i="80"/>
  <c r="I63" i="80"/>
  <c r="G63" i="80"/>
  <c r="C63" i="80"/>
  <c r="N62" i="80"/>
  <c r="M62" i="80"/>
  <c r="I62" i="80"/>
  <c r="G62" i="80"/>
  <c r="C62" i="80"/>
  <c r="N61" i="80"/>
  <c r="M61" i="80"/>
  <c r="I61" i="80"/>
  <c r="G61" i="80"/>
  <c r="C61" i="80"/>
  <c r="N60" i="80"/>
  <c r="M60" i="80"/>
  <c r="I60" i="80"/>
  <c r="G60" i="80"/>
  <c r="C60" i="80"/>
  <c r="I59" i="80"/>
  <c r="G59" i="80"/>
  <c r="C59" i="80"/>
  <c r="N58" i="80"/>
  <c r="M58" i="80"/>
  <c r="I58" i="80"/>
  <c r="G58" i="80"/>
  <c r="C58" i="80"/>
  <c r="N57" i="80"/>
  <c r="M57" i="80"/>
  <c r="I57" i="80"/>
  <c r="G57" i="80"/>
  <c r="C57" i="80"/>
  <c r="N56" i="80"/>
  <c r="M56" i="80"/>
  <c r="I56" i="80"/>
  <c r="G56" i="80"/>
  <c r="C56" i="80"/>
  <c r="N55" i="80"/>
  <c r="M55" i="80"/>
  <c r="I55" i="80"/>
  <c r="G55" i="80"/>
  <c r="C55" i="80"/>
  <c r="N54" i="80"/>
  <c r="M54" i="80"/>
  <c r="I54" i="80"/>
  <c r="G54" i="80"/>
  <c r="C54" i="80"/>
  <c r="N53" i="80"/>
  <c r="M53" i="80"/>
  <c r="I53" i="80"/>
  <c r="G53" i="80"/>
  <c r="C53" i="80"/>
  <c r="N52" i="80"/>
  <c r="M52" i="80"/>
  <c r="I52" i="80"/>
  <c r="G52" i="80"/>
  <c r="C52" i="80"/>
  <c r="I51" i="80"/>
  <c r="G51" i="80"/>
  <c r="C51" i="80"/>
  <c r="N49" i="80"/>
  <c r="M49" i="80"/>
  <c r="I49" i="80"/>
  <c r="G49" i="80"/>
  <c r="C49" i="80"/>
  <c r="N48" i="80"/>
  <c r="M48" i="80"/>
  <c r="I48" i="80"/>
  <c r="G48" i="80"/>
  <c r="C48" i="80"/>
  <c r="N47" i="80"/>
  <c r="M47" i="80"/>
  <c r="I47" i="80"/>
  <c r="G47" i="80"/>
  <c r="C47" i="80"/>
  <c r="N46" i="80"/>
  <c r="M46" i="80"/>
  <c r="I46" i="80"/>
  <c r="G46" i="80"/>
  <c r="C46" i="80"/>
  <c r="N45" i="80"/>
  <c r="M45" i="80"/>
  <c r="I45" i="80"/>
  <c r="G45" i="80"/>
  <c r="C45" i="80"/>
  <c r="N44" i="80"/>
  <c r="M44" i="80"/>
  <c r="I44" i="80"/>
  <c r="G44" i="80"/>
  <c r="C44" i="80"/>
  <c r="N42" i="80"/>
  <c r="M42" i="80"/>
  <c r="I42" i="80"/>
  <c r="G42" i="80"/>
  <c r="C42" i="80"/>
  <c r="N41" i="80"/>
  <c r="M41" i="80"/>
  <c r="I41" i="80"/>
  <c r="G41" i="80"/>
  <c r="C41" i="80"/>
  <c r="N40" i="80"/>
  <c r="M40" i="80"/>
  <c r="I40" i="80"/>
  <c r="G40" i="80"/>
  <c r="C40" i="80"/>
  <c r="N39" i="80"/>
  <c r="M39" i="80"/>
  <c r="I39" i="80"/>
  <c r="G39" i="80"/>
  <c r="C39" i="80"/>
  <c r="N38" i="80"/>
  <c r="M38" i="80"/>
  <c r="I38" i="80"/>
  <c r="G38" i="80"/>
  <c r="C38" i="80"/>
  <c r="N37" i="80"/>
  <c r="M37" i="80"/>
  <c r="I37" i="80"/>
  <c r="G37" i="80"/>
  <c r="C37" i="80"/>
  <c r="N36" i="80"/>
  <c r="M36" i="80"/>
  <c r="I36" i="80"/>
  <c r="G36" i="80"/>
  <c r="C36" i="80"/>
  <c r="N35" i="80"/>
  <c r="M35" i="80"/>
  <c r="I35" i="80"/>
  <c r="G35" i="80"/>
  <c r="C35" i="80"/>
  <c r="N34" i="80"/>
  <c r="M34" i="80"/>
  <c r="I34" i="80"/>
  <c r="G34" i="80"/>
  <c r="C34" i="80"/>
  <c r="I33" i="80"/>
  <c r="G33" i="80"/>
  <c r="C33" i="80"/>
  <c r="N32" i="80"/>
  <c r="M32" i="80"/>
  <c r="I32" i="80"/>
  <c r="G32" i="80"/>
  <c r="C32" i="80"/>
  <c r="N31" i="80"/>
  <c r="M31" i="80"/>
  <c r="I31" i="80"/>
  <c r="G31" i="80"/>
  <c r="C31" i="80"/>
  <c r="N30" i="80"/>
  <c r="M30" i="80"/>
  <c r="I30" i="80"/>
  <c r="G30" i="80"/>
  <c r="C30" i="80"/>
  <c r="N28" i="80"/>
  <c r="M28" i="80"/>
  <c r="I28" i="80"/>
  <c r="G28" i="80"/>
  <c r="C28" i="80"/>
  <c r="N27" i="80"/>
  <c r="M27" i="80"/>
  <c r="I27" i="80"/>
  <c r="G27" i="80"/>
  <c r="C27" i="80"/>
  <c r="N26" i="80"/>
  <c r="M26" i="80"/>
  <c r="I26" i="80"/>
  <c r="G26" i="80"/>
  <c r="C26" i="80"/>
  <c r="N25" i="80"/>
  <c r="M25" i="80"/>
  <c r="I25" i="80"/>
  <c r="G25" i="80"/>
  <c r="C25" i="80"/>
  <c r="N23" i="80"/>
  <c r="M23" i="80"/>
  <c r="I23" i="80"/>
  <c r="G23" i="80"/>
  <c r="C23" i="80"/>
  <c r="N22" i="80"/>
  <c r="M22" i="80"/>
  <c r="I22" i="80"/>
  <c r="G22" i="80"/>
  <c r="C22" i="80"/>
  <c r="N21" i="80"/>
  <c r="M21" i="80"/>
  <c r="I21" i="80"/>
  <c r="G21" i="80"/>
  <c r="C21" i="80"/>
  <c r="N20" i="80"/>
  <c r="M20" i="80"/>
  <c r="I20" i="80"/>
  <c r="G20" i="80"/>
  <c r="C20" i="80"/>
  <c r="N19" i="80"/>
  <c r="M19" i="80"/>
  <c r="I19" i="80"/>
  <c r="G19" i="80"/>
  <c r="C19" i="80"/>
  <c r="N18" i="80"/>
  <c r="M18" i="80"/>
  <c r="I18" i="80"/>
  <c r="G18" i="80"/>
  <c r="C18" i="80"/>
  <c r="N17" i="80"/>
  <c r="M17" i="80"/>
  <c r="I17" i="80"/>
  <c r="G17" i="80"/>
  <c r="C17" i="80"/>
  <c r="N16" i="80"/>
  <c r="M16" i="80"/>
  <c r="I16" i="80"/>
  <c r="G16" i="80"/>
  <c r="C16" i="80"/>
  <c r="N15" i="80"/>
  <c r="M15" i="80"/>
  <c r="I15" i="80"/>
  <c r="G15" i="80"/>
  <c r="C15" i="80"/>
  <c r="N14" i="80"/>
  <c r="M14" i="80"/>
  <c r="I14" i="80"/>
  <c r="G14" i="80"/>
  <c r="C14" i="80"/>
  <c r="N13" i="80"/>
  <c r="M13" i="80"/>
  <c r="I13" i="80"/>
  <c r="G13" i="80"/>
  <c r="C13" i="80"/>
  <c r="N12" i="80"/>
  <c r="M12" i="80"/>
  <c r="I12" i="80"/>
  <c r="G12" i="80"/>
  <c r="C12" i="80"/>
  <c r="N11" i="80"/>
  <c r="M11" i="80"/>
  <c r="I11" i="80"/>
  <c r="G11" i="80"/>
  <c r="C11" i="80"/>
  <c r="N10" i="80"/>
  <c r="M10" i="80"/>
  <c r="I10" i="80"/>
  <c r="G10" i="80"/>
  <c r="C10" i="80"/>
  <c r="N9" i="80"/>
  <c r="M9" i="80"/>
  <c r="I9" i="80"/>
  <c r="G9" i="80"/>
  <c r="C9" i="80"/>
  <c r="N8" i="80"/>
  <c r="M8" i="80"/>
  <c r="I8" i="80"/>
  <c r="G8" i="80"/>
  <c r="C8" i="80"/>
  <c r="N7" i="80"/>
  <c r="M7" i="80"/>
  <c r="I7" i="80"/>
  <c r="G7" i="80"/>
  <c r="C7" i="80"/>
  <c r="N6" i="80"/>
  <c r="M6" i="80"/>
  <c r="I6" i="80"/>
  <c r="G6" i="80"/>
  <c r="C6" i="80"/>
  <c r="N5" i="80"/>
  <c r="M5" i="80"/>
  <c r="I5" i="80"/>
  <c r="G5" i="80"/>
  <c r="C5" i="80"/>
  <c r="N4" i="80"/>
  <c r="M4" i="80"/>
  <c r="I4" i="80"/>
  <c r="G4" i="80"/>
  <c r="C4" i="80"/>
  <c r="N1" i="80"/>
  <c r="M1" i="80"/>
  <c r="G248" i="76"/>
  <c r="B120" i="76"/>
  <c r="H120" i="76"/>
  <c r="J120" i="76"/>
  <c r="L120" i="76"/>
  <c r="Q120" i="76"/>
  <c r="R120" i="76"/>
  <c r="B121" i="76"/>
  <c r="H121" i="76"/>
  <c r="J121" i="76"/>
  <c r="L121" i="76"/>
  <c r="Q121" i="76"/>
  <c r="R121" i="76"/>
  <c r="B122" i="76"/>
  <c r="H122" i="76"/>
  <c r="J122" i="76"/>
  <c r="K122" i="76"/>
  <c r="L122" i="76"/>
  <c r="Q122" i="76"/>
  <c r="R122" i="76"/>
  <c r="G95" i="76"/>
  <c r="R69" i="76"/>
  <c r="Q69" i="76"/>
  <c r="J69" i="76"/>
  <c r="H69" i="76"/>
  <c r="G69" i="76" s="1"/>
  <c r="B69" i="76"/>
  <c r="K270" i="76"/>
  <c r="K269" i="76"/>
  <c r="K268" i="76"/>
  <c r="K267" i="76"/>
  <c r="K266" i="76"/>
  <c r="K265" i="76"/>
  <c r="K264" i="76"/>
  <c r="K258" i="76"/>
  <c r="K257" i="76"/>
  <c r="K250" i="76"/>
  <c r="K256" i="76"/>
  <c r="K253" i="76"/>
  <c r="K252" i="76"/>
  <c r="K251" i="76"/>
  <c r="K255" i="76"/>
  <c r="K254" i="76"/>
  <c r="K249" i="76"/>
  <c r="K142" i="76"/>
  <c r="K141" i="76"/>
  <c r="K140" i="76"/>
  <c r="K114" i="76"/>
  <c r="K113" i="76"/>
  <c r="K109" i="76"/>
  <c r="K110" i="76"/>
  <c r="K98" i="76"/>
  <c r="K112" i="76"/>
  <c r="K111" i="76"/>
  <c r="K108" i="76"/>
  <c r="K107" i="76"/>
  <c r="K106" i="76"/>
  <c r="K105" i="76"/>
  <c r="K104" i="76"/>
  <c r="K103" i="76"/>
  <c r="K102" i="76"/>
  <c r="K100" i="76"/>
  <c r="K99" i="76"/>
  <c r="K101" i="76"/>
  <c r="K97" i="76"/>
  <c r="K96" i="76"/>
  <c r="K78" i="76"/>
  <c r="K94" i="76"/>
  <c r="K93" i="76"/>
  <c r="K89" i="76"/>
  <c r="K90" i="76"/>
  <c r="K73" i="76"/>
  <c r="K92" i="76"/>
  <c r="K91" i="76"/>
  <c r="K88" i="76"/>
  <c r="K87" i="76"/>
  <c r="K86" i="76"/>
  <c r="K85" i="76"/>
  <c r="K84" i="76"/>
  <c r="K83" i="76"/>
  <c r="K82" i="76"/>
  <c r="K75" i="76"/>
  <c r="K74" i="76"/>
  <c r="K81" i="76"/>
  <c r="K80" i="76"/>
  <c r="K77" i="76"/>
  <c r="K79" i="76"/>
  <c r="K76" i="76"/>
  <c r="K72" i="76"/>
  <c r="K71" i="76"/>
  <c r="L256" i="76"/>
  <c r="L255" i="76"/>
  <c r="L254" i="76"/>
  <c r="L193" i="76"/>
  <c r="L192" i="76"/>
  <c r="L159" i="76"/>
  <c r="L158" i="76"/>
  <c r="L157" i="76"/>
  <c r="L156" i="76"/>
  <c r="L155" i="76"/>
  <c r="L154" i="76"/>
  <c r="L151" i="76"/>
  <c r="L147" i="76"/>
  <c r="L142" i="76"/>
  <c r="L141" i="76"/>
  <c r="L140" i="76"/>
  <c r="L139" i="76"/>
  <c r="L138" i="76"/>
  <c r="L137" i="76"/>
  <c r="L136" i="76"/>
  <c r="L135" i="76"/>
  <c r="L131" i="76"/>
  <c r="L127" i="76"/>
  <c r="L119" i="76"/>
  <c r="L117" i="76"/>
  <c r="L114" i="76"/>
  <c r="L113" i="76"/>
  <c r="L109" i="76"/>
  <c r="L110" i="76"/>
  <c r="L98" i="76"/>
  <c r="L112" i="76"/>
  <c r="L111" i="76"/>
  <c r="L108" i="76"/>
  <c r="L107" i="76"/>
  <c r="L106" i="76"/>
  <c r="L105" i="76"/>
  <c r="L104" i="76"/>
  <c r="L103" i="76"/>
  <c r="L102" i="76"/>
  <c r="L100" i="76"/>
  <c r="L99" i="76"/>
  <c r="L101" i="76"/>
  <c r="L97" i="76"/>
  <c r="L96" i="76"/>
  <c r="L78" i="76"/>
  <c r="L94" i="76"/>
  <c r="L93" i="76"/>
  <c r="L89" i="76"/>
  <c r="L90" i="76"/>
  <c r="L73" i="76"/>
  <c r="L92" i="76"/>
  <c r="L91" i="76"/>
  <c r="L88" i="76"/>
  <c r="L87" i="76"/>
  <c r="L86" i="76"/>
  <c r="L85" i="76"/>
  <c r="L84" i="76"/>
  <c r="L83" i="76"/>
  <c r="L82" i="76"/>
  <c r="L75" i="76"/>
  <c r="L74" i="76"/>
  <c r="L81" i="76"/>
  <c r="L80" i="76"/>
  <c r="L77" i="76"/>
  <c r="L79" i="76"/>
  <c r="L76" i="76"/>
  <c r="L72" i="76"/>
  <c r="L71" i="76"/>
  <c r="L66" i="76"/>
  <c r="L26" i="76"/>
  <c r="J231" i="76"/>
  <c r="J246" i="76"/>
  <c r="J245" i="76"/>
  <c r="J244" i="76"/>
  <c r="J243" i="76"/>
  <c r="J239" i="76"/>
  <c r="J238" i="76"/>
  <c r="J229" i="76"/>
  <c r="J228" i="76"/>
  <c r="J227" i="76"/>
  <c r="J226" i="76"/>
  <c r="J223" i="76"/>
  <c r="J224" i="76"/>
  <c r="J225" i="76"/>
  <c r="J230" i="76"/>
  <c r="J241" i="76"/>
  <c r="J242" i="76"/>
  <c r="J247" i="76"/>
  <c r="J240" i="76"/>
  <c r="J237" i="76"/>
  <c r="J236" i="76"/>
  <c r="J234" i="76"/>
  <c r="J235" i="76"/>
  <c r="J233" i="76"/>
  <c r="J232" i="76"/>
  <c r="J220" i="76"/>
  <c r="J219" i="76"/>
  <c r="J218" i="76"/>
  <c r="J217" i="76"/>
  <c r="J216" i="76"/>
  <c r="J215" i="76"/>
  <c r="J214" i="76"/>
  <c r="J208" i="76"/>
  <c r="J207" i="76"/>
  <c r="J221" i="76"/>
  <c r="J213" i="76"/>
  <c r="J209" i="76"/>
  <c r="J212" i="76"/>
  <c r="J211" i="76"/>
  <c r="J210" i="76"/>
  <c r="J203" i="76"/>
  <c r="J206" i="76"/>
  <c r="J205" i="76"/>
  <c r="J204" i="76"/>
  <c r="J288" i="76"/>
  <c r="J284" i="76"/>
  <c r="J287" i="76"/>
  <c r="J283" i="76"/>
  <c r="J286" i="76"/>
  <c r="J285" i="76"/>
  <c r="J279" i="76"/>
  <c r="J276" i="76"/>
  <c r="J278" i="76"/>
  <c r="J281" i="76"/>
  <c r="J280" i="76"/>
  <c r="J277" i="76"/>
  <c r="J270" i="76"/>
  <c r="J269" i="76"/>
  <c r="J268" i="76"/>
  <c r="J274" i="76"/>
  <c r="J273" i="76"/>
  <c r="J272" i="76"/>
  <c r="J267" i="76"/>
  <c r="J266" i="76"/>
  <c r="J265" i="76"/>
  <c r="J264" i="76"/>
  <c r="J260" i="76"/>
  <c r="J271" i="76"/>
  <c r="J263" i="76"/>
  <c r="J262" i="76"/>
  <c r="J261" i="76"/>
  <c r="J258" i="76"/>
  <c r="J257" i="76"/>
  <c r="J250" i="76"/>
  <c r="J256" i="76"/>
  <c r="J253" i="76"/>
  <c r="J252" i="76"/>
  <c r="J251" i="76"/>
  <c r="J255" i="76"/>
  <c r="J254" i="76"/>
  <c r="J249" i="76"/>
  <c r="J201" i="76"/>
  <c r="J200" i="76"/>
  <c r="J199" i="76"/>
  <c r="J198" i="76"/>
  <c r="J197" i="76"/>
  <c r="J196" i="76"/>
  <c r="J195" i="76"/>
  <c r="J193" i="76"/>
  <c r="J192" i="76"/>
  <c r="J188" i="76"/>
  <c r="J189" i="76"/>
  <c r="J187" i="76"/>
  <c r="J190" i="76"/>
  <c r="J186" i="76"/>
  <c r="J181" i="76"/>
  <c r="J185" i="76"/>
  <c r="J184" i="76"/>
  <c r="J182" i="76"/>
  <c r="J180" i="76"/>
  <c r="J183" i="76"/>
  <c r="J179" i="76"/>
  <c r="J177" i="76"/>
  <c r="J176" i="76"/>
  <c r="J175" i="76"/>
  <c r="J174" i="76"/>
  <c r="J173" i="76"/>
  <c r="J172" i="76"/>
  <c r="J171" i="76"/>
  <c r="J170" i="76"/>
  <c r="J168" i="76"/>
  <c r="J167" i="76"/>
  <c r="J166" i="76"/>
  <c r="J165" i="76"/>
  <c r="J164" i="76"/>
  <c r="J163" i="76"/>
  <c r="J162" i="76"/>
  <c r="J161" i="76"/>
  <c r="J159" i="76"/>
  <c r="J158" i="76"/>
  <c r="J157" i="76"/>
  <c r="J156" i="76"/>
  <c r="J155" i="76"/>
  <c r="J154" i="76"/>
  <c r="J144" i="76"/>
  <c r="J148" i="76"/>
  <c r="J151" i="76"/>
  <c r="J150" i="76"/>
  <c r="J149" i="76"/>
  <c r="J147" i="76"/>
  <c r="J146" i="76"/>
  <c r="J145" i="76"/>
  <c r="J142" i="76"/>
  <c r="J141" i="76"/>
  <c r="J140" i="76"/>
  <c r="J139" i="76"/>
  <c r="J138" i="76"/>
  <c r="J137" i="76"/>
  <c r="J136" i="76"/>
  <c r="J135" i="76"/>
  <c r="J134" i="76"/>
  <c r="J133" i="76"/>
  <c r="J124" i="76"/>
  <c r="J128" i="76"/>
  <c r="J131" i="76"/>
  <c r="J130" i="76"/>
  <c r="J129" i="76"/>
  <c r="J127" i="76"/>
  <c r="J126" i="76"/>
  <c r="J125" i="76"/>
  <c r="J119" i="76"/>
  <c r="J118" i="76"/>
  <c r="J117" i="76"/>
  <c r="J116" i="76"/>
  <c r="J114" i="76"/>
  <c r="J113" i="76"/>
  <c r="J109" i="76"/>
  <c r="J110" i="76"/>
  <c r="J98" i="76"/>
  <c r="J112" i="76"/>
  <c r="J111" i="76"/>
  <c r="J108" i="76"/>
  <c r="J107" i="76"/>
  <c r="J106" i="76"/>
  <c r="J105" i="76"/>
  <c r="J104" i="76"/>
  <c r="J103" i="76"/>
  <c r="J102" i="76"/>
  <c r="J100" i="76"/>
  <c r="J99" i="76"/>
  <c r="J101" i="76"/>
  <c r="J97" i="76"/>
  <c r="J96" i="76"/>
  <c r="J78" i="76"/>
  <c r="J94" i="76"/>
  <c r="J93" i="76"/>
  <c r="J89" i="76"/>
  <c r="J90" i="76"/>
  <c r="J73" i="76"/>
  <c r="J92" i="76"/>
  <c r="J91" i="76"/>
  <c r="J88" i="76"/>
  <c r="J87" i="76"/>
  <c r="J86" i="76"/>
  <c r="J85" i="76"/>
  <c r="J84" i="76"/>
  <c r="J83" i="76"/>
  <c r="J82" i="76"/>
  <c r="J75" i="76"/>
  <c r="J74" i="76"/>
  <c r="J81" i="76"/>
  <c r="J80" i="76"/>
  <c r="J77" i="76"/>
  <c r="J79" i="76"/>
  <c r="J76" i="76"/>
  <c r="J72" i="76"/>
  <c r="J71" i="76"/>
  <c r="J60" i="76"/>
  <c r="J61" i="76"/>
  <c r="J68" i="76"/>
  <c r="J66" i="76"/>
  <c r="J67" i="76"/>
  <c r="J65" i="76"/>
  <c r="J64" i="76"/>
  <c r="J63" i="76"/>
  <c r="J62" i="76"/>
  <c r="J59" i="76"/>
  <c r="J58" i="76"/>
  <c r="J57" i="76"/>
  <c r="J56" i="76"/>
  <c r="J55" i="76"/>
  <c r="J54" i="76"/>
  <c r="J53" i="76"/>
  <c r="J52" i="76"/>
  <c r="J50" i="76"/>
  <c r="J49" i="76"/>
  <c r="J48" i="76"/>
  <c r="J47" i="76"/>
  <c r="J46" i="76"/>
  <c r="J45" i="76"/>
  <c r="J43" i="76"/>
  <c r="J42" i="76"/>
  <c r="J34" i="76"/>
  <c r="J41" i="76"/>
  <c r="J40" i="76"/>
  <c r="J39" i="76"/>
  <c r="J38" i="76"/>
  <c r="J37" i="76"/>
  <c r="J36" i="76"/>
  <c r="J35" i="76"/>
  <c r="J33" i="76"/>
  <c r="J32" i="76"/>
  <c r="J31" i="76"/>
  <c r="J28" i="76"/>
  <c r="J27" i="76"/>
  <c r="J26" i="76"/>
  <c r="J25" i="76"/>
  <c r="J21" i="76"/>
  <c r="J20" i="76"/>
  <c r="J19" i="76"/>
  <c r="J18" i="76"/>
  <c r="J17" i="76"/>
  <c r="J23" i="76"/>
  <c r="J8" i="76"/>
  <c r="J22" i="76"/>
  <c r="J16" i="76"/>
  <c r="J13" i="76"/>
  <c r="J12" i="76"/>
  <c r="J11" i="76"/>
  <c r="J6" i="76"/>
  <c r="J5" i="76"/>
  <c r="J4" i="76"/>
  <c r="J9" i="76"/>
  <c r="J7" i="76"/>
  <c r="J10" i="76"/>
  <c r="J14" i="76"/>
  <c r="J15" i="76"/>
  <c r="N1" i="36"/>
  <c r="M29" i="6"/>
  <c r="M27" i="6" s="1"/>
  <c r="M28" i="6" s="1"/>
  <c r="D79" i="73"/>
  <c r="E4" i="44"/>
  <c r="E4" i="21"/>
  <c r="E6" i="41"/>
  <c r="E4" i="60"/>
  <c r="E4" i="59"/>
  <c r="E4" i="40"/>
  <c r="E4" i="35"/>
  <c r="E7" i="37"/>
  <c r="E7" i="58"/>
  <c r="E6" i="36"/>
  <c r="E5" i="34"/>
  <c r="E5" i="32"/>
  <c r="E5" i="20"/>
  <c r="E4" i="17"/>
  <c r="E4" i="28"/>
  <c r="E4" i="39"/>
  <c r="E4" i="6"/>
  <c r="M51" i="80"/>
  <c r="R286" i="76"/>
  <c r="Q286" i="76"/>
  <c r="H286" i="76"/>
  <c r="B286" i="76"/>
  <c r="R288" i="76"/>
  <c r="Q288" i="76"/>
  <c r="H288" i="76"/>
  <c r="B288" i="76"/>
  <c r="R284" i="76"/>
  <c r="Q284" i="76"/>
  <c r="H284" i="76"/>
  <c r="B284" i="76"/>
  <c r="R285" i="76"/>
  <c r="Q285" i="76"/>
  <c r="B285" i="76"/>
  <c r="R287" i="76"/>
  <c r="Q287" i="76"/>
  <c r="H287" i="76"/>
  <c r="B287" i="76"/>
  <c r="R283" i="76"/>
  <c r="Q283" i="76"/>
  <c r="H283" i="76"/>
  <c r="B283" i="76"/>
  <c r="R280" i="76"/>
  <c r="Q280" i="76"/>
  <c r="H280" i="76"/>
  <c r="B280" i="76"/>
  <c r="R279" i="76"/>
  <c r="Q279" i="76"/>
  <c r="H279" i="76"/>
  <c r="B279" i="76"/>
  <c r="R281" i="76"/>
  <c r="Q281" i="76"/>
  <c r="H281" i="76"/>
  <c r="B281" i="76"/>
  <c r="R278" i="76"/>
  <c r="Q278" i="76"/>
  <c r="H278" i="76"/>
  <c r="B278" i="76"/>
  <c r="R277" i="76"/>
  <c r="Q277" i="76"/>
  <c r="H277" i="76"/>
  <c r="B277" i="76"/>
  <c r="R276" i="76"/>
  <c r="Q276" i="76"/>
  <c r="H276" i="76"/>
  <c r="B276" i="76"/>
  <c r="R274" i="76"/>
  <c r="Q274" i="76"/>
  <c r="H274" i="76"/>
  <c r="G274" i="76"/>
  <c r="B274" i="76"/>
  <c r="R273" i="76"/>
  <c r="Q273" i="76"/>
  <c r="H273" i="76"/>
  <c r="G273" i="76" s="1"/>
  <c r="B273" i="76"/>
  <c r="R272" i="76"/>
  <c r="Q272" i="76"/>
  <c r="H272" i="76"/>
  <c r="G272" i="76"/>
  <c r="B272" i="76"/>
  <c r="R271" i="76"/>
  <c r="Q271" i="76"/>
  <c r="H271" i="76"/>
  <c r="G271" i="76" s="1"/>
  <c r="B271" i="76"/>
  <c r="R270" i="76"/>
  <c r="Q270" i="76"/>
  <c r="H270" i="76"/>
  <c r="G270" i="76"/>
  <c r="B270" i="76"/>
  <c r="R269" i="76"/>
  <c r="Q269" i="76"/>
  <c r="H269" i="76"/>
  <c r="G269" i="76"/>
  <c r="B269" i="76"/>
  <c r="R268" i="76"/>
  <c r="Q268" i="76"/>
  <c r="H268" i="76"/>
  <c r="G268" i="76" s="1"/>
  <c r="B268" i="76"/>
  <c r="R267" i="76"/>
  <c r="Q267" i="76"/>
  <c r="H267" i="76"/>
  <c r="G267" i="76" s="1"/>
  <c r="B267" i="76"/>
  <c r="R266" i="76"/>
  <c r="Q266" i="76"/>
  <c r="H266" i="76"/>
  <c r="G266" i="76" s="1"/>
  <c r="B266" i="76"/>
  <c r="R265" i="76"/>
  <c r="Q265" i="76"/>
  <c r="H265" i="76"/>
  <c r="G265" i="76" s="1"/>
  <c r="B265" i="76"/>
  <c r="H264" i="76"/>
  <c r="G264" i="76" s="1"/>
  <c r="B264" i="76"/>
  <c r="R263" i="76"/>
  <c r="Q263" i="76"/>
  <c r="H263" i="76"/>
  <c r="G263" i="76" s="1"/>
  <c r="B263" i="76"/>
  <c r="R262" i="76"/>
  <c r="Q262" i="76"/>
  <c r="H262" i="76"/>
  <c r="G262" i="76"/>
  <c r="B262" i="76"/>
  <c r="R261" i="76"/>
  <c r="Q261" i="76"/>
  <c r="H261" i="76"/>
  <c r="G261" i="76" s="1"/>
  <c r="B261" i="76"/>
  <c r="H260" i="76"/>
  <c r="G260" i="76"/>
  <c r="B260" i="76"/>
  <c r="R253" i="76"/>
  <c r="Q253" i="76"/>
  <c r="H253" i="76"/>
  <c r="G253" i="76" s="1"/>
  <c r="B253" i="76"/>
  <c r="R252" i="76"/>
  <c r="Q252" i="76"/>
  <c r="H252" i="76"/>
  <c r="G252" i="76"/>
  <c r="B252" i="76"/>
  <c r="R251" i="76"/>
  <c r="Q251" i="76"/>
  <c r="H251" i="76"/>
  <c r="G251" i="76"/>
  <c r="B251" i="76"/>
  <c r="R258" i="76"/>
  <c r="Q258" i="76"/>
  <c r="I258" i="76"/>
  <c r="H258" i="76"/>
  <c r="B258" i="76"/>
  <c r="R255" i="76"/>
  <c r="Q255" i="76"/>
  <c r="I255" i="76"/>
  <c r="H255" i="76"/>
  <c r="B255" i="76"/>
  <c r="R257" i="76"/>
  <c r="Q257" i="76"/>
  <c r="I257" i="76"/>
  <c r="H257" i="76"/>
  <c r="B257" i="76"/>
  <c r="R254" i="76"/>
  <c r="Q254" i="76"/>
  <c r="I254" i="76"/>
  <c r="H254" i="76"/>
  <c r="B254" i="76"/>
  <c r="R256" i="76"/>
  <c r="Q256" i="76"/>
  <c r="H256" i="76"/>
  <c r="B256" i="76"/>
  <c r="R250" i="76"/>
  <c r="Q250" i="76"/>
  <c r="H250" i="76"/>
  <c r="G250" i="76" s="1"/>
  <c r="B250" i="76"/>
  <c r="R249" i="76"/>
  <c r="Q249" i="76"/>
  <c r="H249" i="76"/>
  <c r="G249" i="76" s="1"/>
  <c r="B249" i="76"/>
  <c r="B231" i="76"/>
  <c r="B246" i="76"/>
  <c r="B245" i="76"/>
  <c r="B244" i="76"/>
  <c r="B243" i="76"/>
  <c r="B239" i="76"/>
  <c r="B238" i="76"/>
  <c r="B229" i="76"/>
  <c r="B228" i="76"/>
  <c r="B227" i="76"/>
  <c r="B226" i="76"/>
  <c r="B223" i="76"/>
  <c r="B224" i="76"/>
  <c r="B225" i="76"/>
  <c r="B230" i="76"/>
  <c r="B241" i="76"/>
  <c r="B242" i="76"/>
  <c r="B247" i="76"/>
  <c r="B240" i="76"/>
  <c r="B237" i="76"/>
  <c r="B236" i="76"/>
  <c r="B234" i="76"/>
  <c r="B235" i="76"/>
  <c r="B233" i="76"/>
  <c r="Q247" i="76"/>
  <c r="H247" i="76"/>
  <c r="G247" i="76" s="1"/>
  <c r="Q246" i="76"/>
  <c r="H246" i="76"/>
  <c r="G246" i="76"/>
  <c r="Q245" i="76"/>
  <c r="H245" i="76"/>
  <c r="G245" i="76" s="1"/>
  <c r="Q244" i="76"/>
  <c r="H244" i="76"/>
  <c r="G244" i="76" s="1"/>
  <c r="Q243" i="76"/>
  <c r="H243" i="76"/>
  <c r="G243" i="76" s="1"/>
  <c r="Q242" i="76"/>
  <c r="H242" i="76"/>
  <c r="G242" i="76" s="1"/>
  <c r="Q241" i="76"/>
  <c r="H241" i="76"/>
  <c r="G241" i="76"/>
  <c r="Q240" i="76"/>
  <c r="H240" i="76"/>
  <c r="G240" i="76"/>
  <c r="Q239" i="76"/>
  <c r="H239" i="76"/>
  <c r="G239" i="76" s="1"/>
  <c r="Q238" i="76"/>
  <c r="H238" i="76"/>
  <c r="G238" i="76"/>
  <c r="Q237" i="76"/>
  <c r="H237" i="76"/>
  <c r="G237" i="76" s="1"/>
  <c r="Q236" i="76"/>
  <c r="H236" i="76"/>
  <c r="G236" i="76" s="1"/>
  <c r="Q235" i="76"/>
  <c r="H235" i="76"/>
  <c r="G235" i="76" s="1"/>
  <c r="Q234" i="76"/>
  <c r="H234" i="76"/>
  <c r="G234" i="76" s="1"/>
  <c r="Q233" i="76"/>
  <c r="H233" i="76"/>
  <c r="G233" i="76"/>
  <c r="Q232" i="76"/>
  <c r="H232" i="76"/>
  <c r="G232" i="76"/>
  <c r="Q231" i="76"/>
  <c r="H231" i="76"/>
  <c r="G231" i="76" s="1"/>
  <c r="Q230" i="76"/>
  <c r="H230" i="76"/>
  <c r="G230" i="76"/>
  <c r="Q229" i="76"/>
  <c r="H229" i="76"/>
  <c r="G229" i="76" s="1"/>
  <c r="Q228" i="76"/>
  <c r="H228" i="76"/>
  <c r="G228" i="76" s="1"/>
  <c r="Q227" i="76"/>
  <c r="H227" i="76"/>
  <c r="G227" i="76" s="1"/>
  <c r="Q226" i="76"/>
  <c r="H226" i="76"/>
  <c r="G226" i="76" s="1"/>
  <c r="Q225" i="76"/>
  <c r="H225" i="76"/>
  <c r="G225" i="76"/>
  <c r="Q224" i="76"/>
  <c r="H224" i="76"/>
  <c r="G224" i="76"/>
  <c r="Q223" i="76"/>
  <c r="H223" i="76"/>
  <c r="G223" i="76" s="1"/>
  <c r="B232" i="76"/>
  <c r="B220" i="76"/>
  <c r="B219" i="76"/>
  <c r="B218" i="76"/>
  <c r="B217" i="76"/>
  <c r="B216" i="76"/>
  <c r="B215" i="76"/>
  <c r="B214" i="76"/>
  <c r="B208" i="76"/>
  <c r="B207" i="76"/>
  <c r="B221" i="76"/>
  <c r="B213" i="76"/>
  <c r="B209" i="76"/>
  <c r="B212" i="76"/>
  <c r="B211" i="76"/>
  <c r="B210" i="76"/>
  <c r="B203" i="76"/>
  <c r="B206" i="76"/>
  <c r="B205" i="76"/>
  <c r="B204" i="76"/>
  <c r="Q221" i="76"/>
  <c r="H221" i="76"/>
  <c r="G221" i="76" s="1"/>
  <c r="Q220" i="76"/>
  <c r="H220" i="76"/>
  <c r="G220" i="76"/>
  <c r="Q219" i="76"/>
  <c r="H219" i="76"/>
  <c r="G219" i="76"/>
  <c r="Q218" i="76"/>
  <c r="H218" i="76"/>
  <c r="G218" i="76" s="1"/>
  <c r="Q217" i="76"/>
  <c r="H217" i="76"/>
  <c r="G217" i="76"/>
  <c r="Q216" i="76"/>
  <c r="H216" i="76"/>
  <c r="G216" i="76" s="1"/>
  <c r="Q215" i="76"/>
  <c r="H215" i="76"/>
  <c r="G215" i="76" s="1"/>
  <c r="Q214" i="76"/>
  <c r="H214" i="76"/>
  <c r="G214" i="76" s="1"/>
  <c r="Q213" i="76"/>
  <c r="H213" i="76"/>
  <c r="G213" i="76" s="1"/>
  <c r="Q212" i="76"/>
  <c r="H212" i="76"/>
  <c r="G212" i="76"/>
  <c r="Q211" i="76"/>
  <c r="H211" i="76"/>
  <c r="G211" i="76"/>
  <c r="Q210" i="76"/>
  <c r="H210" i="76"/>
  <c r="G210" i="76" s="1"/>
  <c r="Q209" i="76"/>
  <c r="H209" i="76"/>
  <c r="G209" i="76"/>
  <c r="Q208" i="76"/>
  <c r="H208" i="76"/>
  <c r="G208" i="76" s="1"/>
  <c r="Q207" i="76"/>
  <c r="H207" i="76"/>
  <c r="G207" i="76" s="1"/>
  <c r="Q206" i="76"/>
  <c r="H206" i="76"/>
  <c r="G206" i="76" s="1"/>
  <c r="Q205" i="76"/>
  <c r="H205" i="76"/>
  <c r="G205" i="76" s="1"/>
  <c r="Q204" i="76"/>
  <c r="H204" i="76"/>
  <c r="G204" i="76"/>
  <c r="Q203" i="76"/>
  <c r="H203" i="76"/>
  <c r="G203" i="76"/>
  <c r="B201" i="76"/>
  <c r="B200" i="76"/>
  <c r="B199" i="76"/>
  <c r="B198" i="76"/>
  <c r="B197" i="76"/>
  <c r="B196" i="76"/>
  <c r="B195" i="76"/>
  <c r="R201" i="76"/>
  <c r="Q201" i="76"/>
  <c r="H201" i="76"/>
  <c r="G201" i="76" s="1"/>
  <c r="R200" i="76"/>
  <c r="Q200" i="76"/>
  <c r="H200" i="76"/>
  <c r="G200" i="76" s="1"/>
  <c r="R199" i="76"/>
  <c r="Q199" i="76"/>
  <c r="H199" i="76"/>
  <c r="G199" i="76" s="1"/>
  <c r="R198" i="76"/>
  <c r="Q198" i="76"/>
  <c r="H198" i="76"/>
  <c r="G198" i="76" s="1"/>
  <c r="R197" i="76"/>
  <c r="Q197" i="76"/>
  <c r="H197" i="76"/>
  <c r="G197" i="76" s="1"/>
  <c r="R196" i="76"/>
  <c r="Q196" i="76"/>
  <c r="H196" i="76"/>
  <c r="G196" i="76" s="1"/>
  <c r="R195" i="76"/>
  <c r="Q195" i="76"/>
  <c r="H195" i="76"/>
  <c r="G195" i="76" s="1"/>
  <c r="B193" i="76"/>
  <c r="B192" i="76"/>
  <c r="B188" i="76"/>
  <c r="B189" i="76"/>
  <c r="B187" i="76"/>
  <c r="B190" i="76"/>
  <c r="B186" i="76"/>
  <c r="B181" i="76"/>
  <c r="B185" i="76"/>
  <c r="B184" i="76"/>
  <c r="B182" i="76"/>
  <c r="B180" i="76"/>
  <c r="B183" i="76"/>
  <c r="B179" i="76"/>
  <c r="R193" i="76"/>
  <c r="Q193" i="76"/>
  <c r="H193" i="76"/>
  <c r="G193" i="76"/>
  <c r="R190" i="76"/>
  <c r="Q190" i="76"/>
  <c r="H190" i="76"/>
  <c r="G190" i="76" s="1"/>
  <c r="R189" i="76"/>
  <c r="Q189" i="76"/>
  <c r="H189" i="76"/>
  <c r="G189" i="76"/>
  <c r="R188" i="76"/>
  <c r="Q188" i="76"/>
  <c r="H188" i="76"/>
  <c r="G188" i="76" s="1"/>
  <c r="R187" i="76"/>
  <c r="Q187" i="76"/>
  <c r="H187" i="76"/>
  <c r="G187" i="76"/>
  <c r="H186" i="76"/>
  <c r="G186" i="76" s="1"/>
  <c r="R192" i="76"/>
  <c r="Q192" i="76"/>
  <c r="H192" i="76"/>
  <c r="G192" i="76" s="1"/>
  <c r="R185" i="76"/>
  <c r="Q185" i="76"/>
  <c r="H185" i="76"/>
  <c r="G185" i="76" s="1"/>
  <c r="R184" i="76"/>
  <c r="Q184" i="76"/>
  <c r="H184" i="76"/>
  <c r="G184" i="76" s="1"/>
  <c r="R183" i="76"/>
  <c r="Q183" i="76"/>
  <c r="H183" i="76"/>
  <c r="G183" i="76" s="1"/>
  <c r="R182" i="76"/>
  <c r="Q182" i="76"/>
  <c r="H182" i="76"/>
  <c r="G182" i="76" s="1"/>
  <c r="R181" i="76"/>
  <c r="Q181" i="76"/>
  <c r="H181" i="76"/>
  <c r="G181" i="76" s="1"/>
  <c r="R180" i="76"/>
  <c r="Q180" i="76"/>
  <c r="H180" i="76"/>
  <c r="G180" i="76" s="1"/>
  <c r="H179" i="76"/>
  <c r="G179" i="76"/>
  <c r="B177" i="76"/>
  <c r="B176" i="76"/>
  <c r="B175" i="76"/>
  <c r="B174" i="76"/>
  <c r="B173" i="76"/>
  <c r="B172" i="76"/>
  <c r="B171" i="76"/>
  <c r="B170" i="76"/>
  <c r="B168" i="76"/>
  <c r="B167" i="76"/>
  <c r="B166" i="76"/>
  <c r="B165" i="76"/>
  <c r="B164" i="76"/>
  <c r="R177" i="76"/>
  <c r="Q177" i="76"/>
  <c r="H177" i="76"/>
  <c r="R176" i="76"/>
  <c r="Q176" i="76"/>
  <c r="H176" i="76"/>
  <c r="R168" i="76"/>
  <c r="Q168" i="76"/>
  <c r="H168" i="76"/>
  <c r="R167" i="76"/>
  <c r="Q167" i="76"/>
  <c r="H167" i="76"/>
  <c r="R175" i="76"/>
  <c r="Q175" i="76"/>
  <c r="H175" i="76"/>
  <c r="R174" i="76"/>
  <c r="Q174" i="76"/>
  <c r="H174" i="76"/>
  <c r="R166" i="76"/>
  <c r="Q166" i="76"/>
  <c r="H166" i="76"/>
  <c r="R165" i="76"/>
  <c r="Q165" i="76"/>
  <c r="H165" i="76"/>
  <c r="R173" i="76"/>
  <c r="Q173" i="76"/>
  <c r="H173" i="76"/>
  <c r="R172" i="76"/>
  <c r="Q172" i="76"/>
  <c r="H172" i="76"/>
  <c r="R164" i="76"/>
  <c r="Q164" i="76"/>
  <c r="H164" i="76"/>
  <c r="R163" i="76"/>
  <c r="Q163" i="76"/>
  <c r="H163" i="76"/>
  <c r="R171" i="76"/>
  <c r="Q171" i="76"/>
  <c r="H171" i="76"/>
  <c r="R170" i="76"/>
  <c r="Q170" i="76"/>
  <c r="H170" i="76"/>
  <c r="R162" i="76"/>
  <c r="Q162" i="76"/>
  <c r="H162" i="76"/>
  <c r="R161" i="76"/>
  <c r="Q161" i="76"/>
  <c r="R1" i="76"/>
  <c r="Q1" i="76"/>
  <c r="P1" i="76"/>
  <c r="H161" i="76"/>
  <c r="B163" i="76"/>
  <c r="B162" i="76"/>
  <c r="B161" i="76"/>
  <c r="B159" i="76"/>
  <c r="B158" i="76"/>
  <c r="B157" i="76"/>
  <c r="B156" i="76"/>
  <c r="B155" i="76"/>
  <c r="B154" i="76"/>
  <c r="B144" i="76"/>
  <c r="B148" i="76"/>
  <c r="B151" i="76"/>
  <c r="B150" i="76"/>
  <c r="B149" i="76"/>
  <c r="B147" i="76"/>
  <c r="B146" i="76"/>
  <c r="B145" i="76"/>
  <c r="R159" i="76"/>
  <c r="Q159" i="76"/>
  <c r="H159" i="76"/>
  <c r="R158" i="76"/>
  <c r="Q158" i="76"/>
  <c r="H158" i="76"/>
  <c r="R157" i="76"/>
  <c r="Q157" i="76"/>
  <c r="H157" i="76"/>
  <c r="R151" i="76"/>
  <c r="Q151" i="76"/>
  <c r="H151" i="76"/>
  <c r="G151" i="76" s="1"/>
  <c r="R150" i="76"/>
  <c r="Q150" i="76"/>
  <c r="H150" i="76"/>
  <c r="G150" i="76" s="1"/>
  <c r="R149" i="76"/>
  <c r="Q149" i="76"/>
  <c r="H149" i="76"/>
  <c r="G149" i="76" s="1"/>
  <c r="R148" i="76"/>
  <c r="Q148" i="76"/>
  <c r="H148" i="76"/>
  <c r="G148" i="76" s="1"/>
  <c r="R156" i="76"/>
  <c r="Q156" i="76"/>
  <c r="H156" i="76"/>
  <c r="R155" i="76"/>
  <c r="Q155" i="76"/>
  <c r="H155" i="76"/>
  <c r="R154" i="76"/>
  <c r="Q154" i="76"/>
  <c r="H154" i="76"/>
  <c r="R147" i="76"/>
  <c r="Q147" i="76"/>
  <c r="H147" i="76"/>
  <c r="G147" i="76" s="1"/>
  <c r="R146" i="76"/>
  <c r="Q146" i="76"/>
  <c r="H146" i="76"/>
  <c r="G146" i="76"/>
  <c r="R145" i="76"/>
  <c r="Q145" i="76"/>
  <c r="H145" i="76"/>
  <c r="G145" i="76" s="1"/>
  <c r="R144" i="76"/>
  <c r="Q144" i="76"/>
  <c r="H144" i="76"/>
  <c r="G144" i="76"/>
  <c r="B142" i="76"/>
  <c r="B141" i="76"/>
  <c r="B140" i="76"/>
  <c r="B139" i="76"/>
  <c r="B138" i="76"/>
  <c r="B137" i="76"/>
  <c r="B136" i="76"/>
  <c r="B135" i="76"/>
  <c r="B134" i="76"/>
  <c r="B133" i="76"/>
  <c r="B124" i="76"/>
  <c r="B128" i="76"/>
  <c r="B131" i="76"/>
  <c r="B130" i="76"/>
  <c r="B129" i="76"/>
  <c r="B127" i="76"/>
  <c r="B126" i="76"/>
  <c r="B125" i="76"/>
  <c r="R142" i="76"/>
  <c r="Q142" i="76"/>
  <c r="H142" i="76"/>
  <c r="R141" i="76"/>
  <c r="Q141" i="76"/>
  <c r="H141" i="76"/>
  <c r="R140" i="76"/>
  <c r="Q140" i="76"/>
  <c r="H140" i="76"/>
  <c r="R138" i="76"/>
  <c r="Q138" i="76"/>
  <c r="H138" i="76"/>
  <c r="R137" i="76"/>
  <c r="Q137" i="76"/>
  <c r="H137" i="76"/>
  <c r="R136" i="76"/>
  <c r="Q136" i="76"/>
  <c r="H136" i="76"/>
  <c r="R131" i="76"/>
  <c r="Q131" i="76"/>
  <c r="H131" i="76"/>
  <c r="G131" i="76"/>
  <c r="R130" i="76"/>
  <c r="Q130" i="76"/>
  <c r="H130" i="76"/>
  <c r="G130" i="76" s="1"/>
  <c r="R129" i="76"/>
  <c r="Q129" i="76"/>
  <c r="H129" i="76"/>
  <c r="G129" i="76"/>
  <c r="H128" i="76"/>
  <c r="G128" i="76" s="1"/>
  <c r="R139" i="76"/>
  <c r="Q139" i="76"/>
  <c r="H139" i="76"/>
  <c r="R135" i="76"/>
  <c r="Q135" i="76"/>
  <c r="H135" i="76"/>
  <c r="R134" i="76"/>
  <c r="Q134" i="76"/>
  <c r="H134" i="76"/>
  <c r="R133" i="76"/>
  <c r="Q133" i="76"/>
  <c r="H133" i="76"/>
  <c r="R127" i="76"/>
  <c r="Q127" i="76"/>
  <c r="H127" i="76"/>
  <c r="G127" i="76" s="1"/>
  <c r="R126" i="76"/>
  <c r="Q126" i="76"/>
  <c r="H126" i="76"/>
  <c r="G126" i="76"/>
  <c r="R125" i="76"/>
  <c r="Q125" i="76"/>
  <c r="H125" i="76"/>
  <c r="G125" i="76" s="1"/>
  <c r="R124" i="76"/>
  <c r="H124" i="76"/>
  <c r="G124" i="76" s="1"/>
  <c r="B119" i="76"/>
  <c r="B118" i="76"/>
  <c r="B117" i="76"/>
  <c r="B116" i="76"/>
  <c r="R119" i="76"/>
  <c r="Q119" i="76"/>
  <c r="H119" i="76"/>
  <c r="R118" i="76"/>
  <c r="Q118" i="76"/>
  <c r="H118" i="76"/>
  <c r="R117" i="76"/>
  <c r="Q117" i="76"/>
  <c r="H117" i="76"/>
  <c r="R116" i="76"/>
  <c r="Q116" i="76"/>
  <c r="H116" i="76"/>
  <c r="R114" i="76"/>
  <c r="Q114" i="76"/>
  <c r="H114" i="76"/>
  <c r="G114" i="76" s="1"/>
  <c r="R113" i="76"/>
  <c r="Q113" i="76"/>
  <c r="H113" i="76"/>
  <c r="G113" i="76"/>
  <c r="R112" i="76"/>
  <c r="Q112" i="76"/>
  <c r="H112" i="76"/>
  <c r="G112" i="76" s="1"/>
  <c r="R111" i="76"/>
  <c r="Q111" i="76"/>
  <c r="H111" i="76"/>
  <c r="G111" i="76"/>
  <c r="R110" i="76"/>
  <c r="Q110" i="76"/>
  <c r="H110" i="76"/>
  <c r="G110" i="76" s="1"/>
  <c r="R109" i="76"/>
  <c r="Q109" i="76"/>
  <c r="H109" i="76"/>
  <c r="G109" i="76"/>
  <c r="R108" i="76"/>
  <c r="Q108" i="76"/>
  <c r="H108" i="76"/>
  <c r="G108" i="76" s="1"/>
  <c r="R107" i="76"/>
  <c r="Q107" i="76"/>
  <c r="H107" i="76"/>
  <c r="G107" i="76"/>
  <c r="R106" i="76"/>
  <c r="Q106" i="76"/>
  <c r="H106" i="76"/>
  <c r="G106" i="76" s="1"/>
  <c r="R105" i="76"/>
  <c r="Q105" i="76"/>
  <c r="H105" i="76"/>
  <c r="G105" i="76"/>
  <c r="R104" i="76"/>
  <c r="Q104" i="76"/>
  <c r="H104" i="76"/>
  <c r="G104" i="76" s="1"/>
  <c r="B114" i="76"/>
  <c r="R103" i="76"/>
  <c r="Q103" i="76"/>
  <c r="H103" i="76"/>
  <c r="G103" i="76"/>
  <c r="B113" i="76"/>
  <c r="R102" i="76"/>
  <c r="Q102" i="76"/>
  <c r="H102" i="76"/>
  <c r="G102" i="76" s="1"/>
  <c r="B109" i="76"/>
  <c r="B110" i="76"/>
  <c r="R101" i="76"/>
  <c r="Q101" i="76"/>
  <c r="H101" i="76"/>
  <c r="G101" i="76" s="1"/>
  <c r="B98" i="76"/>
  <c r="B112" i="76"/>
  <c r="B111" i="76"/>
  <c r="B108" i="76"/>
  <c r="B107" i="76"/>
  <c r="B106" i="76"/>
  <c r="R100" i="76"/>
  <c r="Q100" i="76"/>
  <c r="H100" i="76"/>
  <c r="G100" i="76" s="1"/>
  <c r="B105" i="76"/>
  <c r="R99" i="76"/>
  <c r="Q99" i="76"/>
  <c r="H99" i="76"/>
  <c r="G99" i="76"/>
  <c r="B104" i="76"/>
  <c r="B103" i="76"/>
  <c r="B102" i="76"/>
  <c r="R98" i="76"/>
  <c r="Q98" i="76"/>
  <c r="H98" i="76"/>
  <c r="G98" i="76" s="1"/>
  <c r="B100" i="76"/>
  <c r="B99" i="76"/>
  <c r="B101" i="76"/>
  <c r="R97" i="76"/>
  <c r="Q97" i="76"/>
  <c r="H97" i="76"/>
  <c r="G97" i="76"/>
  <c r="B97" i="76"/>
  <c r="B96" i="76"/>
  <c r="R96" i="76"/>
  <c r="Q96" i="76"/>
  <c r="H96" i="76"/>
  <c r="G96" i="76"/>
  <c r="H94" i="76"/>
  <c r="G94" i="76"/>
  <c r="H93" i="76"/>
  <c r="G93" i="76"/>
  <c r="R92" i="76"/>
  <c r="Q92" i="76"/>
  <c r="H92" i="76"/>
  <c r="G92" i="76" s="1"/>
  <c r="H91" i="76"/>
  <c r="G91" i="76"/>
  <c r="H90" i="76"/>
  <c r="G90" i="76"/>
  <c r="H89" i="76"/>
  <c r="G89" i="76" s="1"/>
  <c r="R88" i="76"/>
  <c r="Q88" i="76"/>
  <c r="H88" i="76"/>
  <c r="G88" i="76"/>
  <c r="H87" i="76"/>
  <c r="G87" i="76"/>
  <c r="R86" i="76"/>
  <c r="Q86" i="76"/>
  <c r="H86" i="76"/>
  <c r="G86" i="76" s="1"/>
  <c r="R85" i="76"/>
  <c r="Q85" i="76"/>
  <c r="H85" i="76"/>
  <c r="G85" i="76"/>
  <c r="R84" i="76"/>
  <c r="Q84" i="76"/>
  <c r="H84" i="76"/>
  <c r="G84" i="76" s="1"/>
  <c r="R83" i="76"/>
  <c r="Q83" i="76"/>
  <c r="H83" i="76"/>
  <c r="G83" i="76"/>
  <c r="H82" i="76"/>
  <c r="G82" i="76" s="1"/>
  <c r="H81" i="76"/>
  <c r="G81" i="76" s="1"/>
  <c r="B78" i="76"/>
  <c r="B94" i="76"/>
  <c r="H80" i="76"/>
  <c r="G80" i="76"/>
  <c r="B93" i="76"/>
  <c r="R79" i="76"/>
  <c r="Q79" i="76"/>
  <c r="H79" i="76"/>
  <c r="G79" i="76"/>
  <c r="B89" i="76"/>
  <c r="B90" i="76"/>
  <c r="B73" i="76"/>
  <c r="H78" i="76"/>
  <c r="G78" i="76" s="1"/>
  <c r="B92" i="76"/>
  <c r="B91" i="76"/>
  <c r="B88" i="76"/>
  <c r="H77" i="76"/>
  <c r="G77" i="76" s="1"/>
  <c r="B87" i="76"/>
  <c r="R76" i="76"/>
  <c r="Q76" i="76"/>
  <c r="H76" i="76"/>
  <c r="G76" i="76"/>
  <c r="B86" i="76"/>
  <c r="B85" i="76"/>
  <c r="B84" i="76"/>
  <c r="B83" i="76"/>
  <c r="B82" i="76"/>
  <c r="R75" i="76"/>
  <c r="Q75" i="76"/>
  <c r="H75" i="76"/>
  <c r="G75" i="76"/>
  <c r="B75" i="76"/>
  <c r="H74" i="76"/>
  <c r="G74" i="76"/>
  <c r="B74" i="76"/>
  <c r="B81" i="76"/>
  <c r="B80" i="76"/>
  <c r="H73" i="76"/>
  <c r="G73" i="76"/>
  <c r="B77" i="76"/>
  <c r="B79" i="76"/>
  <c r="B76" i="76"/>
  <c r="R72" i="76"/>
  <c r="Q72" i="76"/>
  <c r="H72" i="76"/>
  <c r="G72" i="76" s="1"/>
  <c r="B72" i="76"/>
  <c r="B71" i="76"/>
  <c r="H71" i="76"/>
  <c r="G71" i="76"/>
  <c r="B60" i="76"/>
  <c r="B61" i="76"/>
  <c r="B68" i="76"/>
  <c r="B66" i="76"/>
  <c r="B67" i="76"/>
  <c r="B65" i="76"/>
  <c r="B64" i="76"/>
  <c r="B63" i="76"/>
  <c r="B62" i="76"/>
  <c r="B59" i="76"/>
  <c r="B58" i="76"/>
  <c r="B57" i="76"/>
  <c r="B56" i="76"/>
  <c r="B55" i="76"/>
  <c r="B54" i="76"/>
  <c r="B53" i="76"/>
  <c r="B52" i="76"/>
  <c r="H68" i="76"/>
  <c r="G68" i="76" s="1"/>
  <c r="R67" i="76"/>
  <c r="Q67" i="76"/>
  <c r="H67" i="76"/>
  <c r="G67" i="76" s="1"/>
  <c r="R66" i="76"/>
  <c r="Q66" i="76"/>
  <c r="H66" i="76"/>
  <c r="G66" i="76" s="1"/>
  <c r="H65" i="76"/>
  <c r="G65" i="76"/>
  <c r="H64" i="76"/>
  <c r="G64" i="76" s="1"/>
  <c r="R63" i="76"/>
  <c r="Q63" i="76"/>
  <c r="H63" i="76"/>
  <c r="G63" i="76" s="1"/>
  <c r="H62" i="76"/>
  <c r="G62" i="76"/>
  <c r="H61" i="76"/>
  <c r="G61" i="76" s="1"/>
  <c r="Q60" i="76"/>
  <c r="H60" i="76"/>
  <c r="G60" i="76" s="1"/>
  <c r="R59" i="76"/>
  <c r="Q59" i="76"/>
  <c r="H59" i="76"/>
  <c r="G59" i="76"/>
  <c r="H58" i="76"/>
  <c r="G58" i="76"/>
  <c r="R57" i="76"/>
  <c r="Q57" i="76"/>
  <c r="H57" i="76"/>
  <c r="G57" i="76" s="1"/>
  <c r="R56" i="76"/>
  <c r="Q56" i="76"/>
  <c r="H56" i="76"/>
  <c r="G56" i="76"/>
  <c r="R55" i="76"/>
  <c r="Q55" i="76"/>
  <c r="H55" i="76"/>
  <c r="G55" i="76" s="1"/>
  <c r="R54" i="76"/>
  <c r="Q54" i="76"/>
  <c r="H54" i="76"/>
  <c r="G54" i="76"/>
  <c r="H53" i="76"/>
  <c r="G53" i="76" s="1"/>
  <c r="H52" i="76"/>
  <c r="G52" i="76" s="1"/>
  <c r="R50" i="76"/>
  <c r="Q50" i="76"/>
  <c r="R49" i="76"/>
  <c r="Q49" i="76"/>
  <c r="R48" i="76"/>
  <c r="Q48" i="76"/>
  <c r="R47" i="76"/>
  <c r="Q47" i="76"/>
  <c r="R46" i="76"/>
  <c r="Q46" i="76"/>
  <c r="R45" i="76"/>
  <c r="Q45" i="76"/>
  <c r="H50" i="76"/>
  <c r="H49" i="76"/>
  <c r="H48" i="76"/>
  <c r="H47" i="76"/>
  <c r="H46" i="76"/>
  <c r="H45" i="76"/>
  <c r="B50" i="76"/>
  <c r="B49" i="76"/>
  <c r="B48" i="76"/>
  <c r="B47" i="76"/>
  <c r="B46" i="76"/>
  <c r="B45" i="76"/>
  <c r="B43" i="76"/>
  <c r="B42" i="76"/>
  <c r="B34" i="76"/>
  <c r="R43" i="76"/>
  <c r="Q43" i="76"/>
  <c r="H43" i="76"/>
  <c r="R42" i="76"/>
  <c r="Q42" i="76"/>
  <c r="H42" i="76"/>
  <c r="R41" i="76"/>
  <c r="Q41" i="76"/>
  <c r="H41" i="76"/>
  <c r="R40" i="76"/>
  <c r="Q40" i="76"/>
  <c r="H40" i="76"/>
  <c r="R39" i="76"/>
  <c r="Q39" i="76"/>
  <c r="H39" i="76"/>
  <c r="R38" i="76"/>
  <c r="Q38" i="76"/>
  <c r="H38" i="76"/>
  <c r="R37" i="76"/>
  <c r="Q37" i="76"/>
  <c r="H37" i="76"/>
  <c r="R36" i="76"/>
  <c r="Q36" i="76"/>
  <c r="H36" i="76"/>
  <c r="R35" i="76"/>
  <c r="Q35" i="76"/>
  <c r="H35" i="76"/>
  <c r="H34" i="76"/>
  <c r="R33" i="76"/>
  <c r="Q33" i="76"/>
  <c r="H33" i="76"/>
  <c r="R32" i="76"/>
  <c r="Q32" i="76"/>
  <c r="H32" i="76"/>
  <c r="R31" i="76"/>
  <c r="Q31" i="76"/>
  <c r="H31" i="76"/>
  <c r="R28" i="76"/>
  <c r="Q28" i="76"/>
  <c r="R27" i="76"/>
  <c r="Q27" i="76"/>
  <c r="R26" i="76"/>
  <c r="Q26" i="76"/>
  <c r="R25" i="76"/>
  <c r="Q25" i="76"/>
  <c r="H28" i="76"/>
  <c r="H27" i="76"/>
  <c r="H26" i="76"/>
  <c r="H25" i="76"/>
  <c r="B41" i="76"/>
  <c r="B40" i="76"/>
  <c r="B39" i="76"/>
  <c r="B38" i="76"/>
  <c r="B37" i="76"/>
  <c r="B36" i="76"/>
  <c r="B35" i="76"/>
  <c r="B33" i="76"/>
  <c r="B32" i="76"/>
  <c r="B31" i="76"/>
  <c r="B28" i="76"/>
  <c r="B27" i="76"/>
  <c r="B26" i="76"/>
  <c r="B25" i="76"/>
  <c r="B17" i="76"/>
  <c r="B22" i="76"/>
  <c r="B21" i="76"/>
  <c r="B20" i="76"/>
  <c r="B23" i="76"/>
  <c r="B19" i="76"/>
  <c r="B18" i="76"/>
  <c r="B16" i="76"/>
  <c r="B15" i="76"/>
  <c r="B14" i="76"/>
  <c r="B13" i="76"/>
  <c r="B12" i="76"/>
  <c r="B11" i="76"/>
  <c r="B10" i="76"/>
  <c r="B9" i="76"/>
  <c r="B8" i="76"/>
  <c r="B7" i="76"/>
  <c r="B6" i="76"/>
  <c r="B5" i="76"/>
  <c r="B4" i="76"/>
  <c r="H23" i="76"/>
  <c r="R22" i="76"/>
  <c r="Q22" i="76"/>
  <c r="H22" i="76"/>
  <c r="R21" i="76"/>
  <c r="Q21" i="76"/>
  <c r="H21" i="76"/>
  <c r="R20" i="76"/>
  <c r="Q20" i="76"/>
  <c r="H20" i="76"/>
  <c r="R19" i="76"/>
  <c r="Q19" i="76"/>
  <c r="H19" i="76"/>
  <c r="R18" i="76"/>
  <c r="Q18" i="76"/>
  <c r="H18" i="76"/>
  <c r="R17" i="76"/>
  <c r="Q17" i="76"/>
  <c r="H17" i="76"/>
  <c r="H16" i="76"/>
  <c r="H15" i="76"/>
  <c r="H14" i="76"/>
  <c r="H13" i="76"/>
  <c r="H12" i="76"/>
  <c r="H11" i="76"/>
  <c r="H10" i="76"/>
  <c r="H9" i="76"/>
  <c r="H8" i="76"/>
  <c r="H7" i="76"/>
  <c r="H6" i="76"/>
  <c r="H5" i="76"/>
  <c r="H4" i="76"/>
  <c r="S99" i="73"/>
  <c r="M99" i="73"/>
  <c r="D99" i="73"/>
  <c r="S77" i="73"/>
  <c r="M77" i="73"/>
  <c r="D77" i="73"/>
  <c r="S56" i="73"/>
  <c r="M56" i="73"/>
  <c r="D56" i="73"/>
  <c r="S35" i="73"/>
  <c r="M35" i="73"/>
  <c r="D35" i="73"/>
  <c r="S14" i="73"/>
  <c r="M14" i="73"/>
  <c r="D14" i="73"/>
  <c r="E29" i="73" s="1"/>
  <c r="G29" i="73" s="1"/>
  <c r="AO12" i="73"/>
  <c r="Z12" i="73"/>
  <c r="E3" i="73"/>
  <c r="E31" i="73"/>
  <c r="G31" i="73" s="1"/>
  <c r="E30" i="73"/>
  <c r="G30" i="73" s="1"/>
  <c r="S81" i="56"/>
  <c r="S80" i="56"/>
  <c r="S79" i="56"/>
  <c r="S78" i="56"/>
  <c r="S77" i="56"/>
  <c r="S76" i="56"/>
  <c r="S75" i="56"/>
  <c r="H285" i="76"/>
  <c r="N31" i="32"/>
  <c r="M31" i="32"/>
  <c r="M72" i="80" s="1"/>
  <c r="N17" i="34"/>
  <c r="M17" i="34"/>
  <c r="N17" i="32"/>
  <c r="M17" i="32"/>
  <c r="G4" i="41"/>
  <c r="H4" i="41" s="1"/>
  <c r="Q74" i="76"/>
  <c r="M67" i="80"/>
  <c r="Q80" i="76"/>
  <c r="M21" i="32"/>
  <c r="D15" i="73"/>
  <c r="N43" i="34"/>
  <c r="N50" i="34" s="1"/>
  <c r="M43" i="34"/>
  <c r="N56" i="32"/>
  <c r="N81" i="80" s="1"/>
  <c r="M56" i="32"/>
  <c r="M81" i="80" s="1"/>
  <c r="N10" i="34"/>
  <c r="N21" i="34" s="1"/>
  <c r="M10" i="34"/>
  <c r="M21" i="34" s="1"/>
  <c r="R87" i="76"/>
  <c r="Q87" i="76"/>
  <c r="R82" i="76"/>
  <c r="Q82" i="76"/>
  <c r="N24" i="32"/>
  <c r="N27" i="32" s="1"/>
  <c r="R78" i="76" s="1"/>
  <c r="M24" i="32"/>
  <c r="M70" i="80" s="1"/>
  <c r="N10" i="32"/>
  <c r="M10" i="32"/>
  <c r="M65" i="80" s="1"/>
  <c r="Q71" i="76"/>
  <c r="R58" i="76"/>
  <c r="Q58" i="76"/>
  <c r="R53" i="76"/>
  <c r="Q53" i="76"/>
  <c r="N24" i="17"/>
  <c r="N26" i="17" s="1"/>
  <c r="M24" i="17"/>
  <c r="L24" i="39"/>
  <c r="K24" i="39"/>
  <c r="N37" i="6"/>
  <c r="O9" i="40"/>
  <c r="N9" i="40"/>
  <c r="M9" i="40"/>
  <c r="M208" i="80"/>
  <c r="Q264" i="76"/>
  <c r="Q260" i="76"/>
  <c r="R260" i="76"/>
  <c r="R94" i="76"/>
  <c r="R81" i="76"/>
  <c r="Q94" i="76"/>
  <c r="Q81" i="76"/>
  <c r="D17" i="73"/>
  <c r="C25" i="58"/>
  <c r="I139" i="76" s="1"/>
  <c r="D19" i="73"/>
  <c r="U89" i="73" s="1"/>
  <c r="D18" i="73"/>
  <c r="D16" i="73"/>
  <c r="G2" i="44"/>
  <c r="G1" i="44"/>
  <c r="G1" i="21"/>
  <c r="H1" i="21" s="1"/>
  <c r="I1" i="21" s="1"/>
  <c r="J1" i="21" s="1"/>
  <c r="K1" i="21" s="1"/>
  <c r="H3" i="41"/>
  <c r="I3" i="41" s="1"/>
  <c r="G2" i="41"/>
  <c r="H2" i="41" s="1"/>
  <c r="G1" i="41"/>
  <c r="K1" i="60"/>
  <c r="L1" i="60" s="1"/>
  <c r="H1" i="41"/>
  <c r="I1" i="41" s="1"/>
  <c r="J1" i="41" s="1"/>
  <c r="L258" i="76"/>
  <c r="L257" i="76"/>
  <c r="G1" i="40"/>
  <c r="G2" i="35"/>
  <c r="G1" i="35"/>
  <c r="N5" i="37"/>
  <c r="G5" i="37"/>
  <c r="H5" i="37" s="1"/>
  <c r="N4" i="37"/>
  <c r="G4" i="37"/>
  <c r="G2" i="37"/>
  <c r="G1" i="37"/>
  <c r="C43" i="58"/>
  <c r="I142" i="76" s="1"/>
  <c r="C42" i="58"/>
  <c r="C41" i="58"/>
  <c r="I140" i="76" s="1"/>
  <c r="I141" i="76"/>
  <c r="N2" i="35"/>
  <c r="G5" i="58"/>
  <c r="H5" i="58" s="1"/>
  <c r="I5" i="58" s="1"/>
  <c r="J5" i="58" s="1"/>
  <c r="K5" i="58" s="1"/>
  <c r="M5" i="58" s="1"/>
  <c r="N5" i="58" s="1"/>
  <c r="O5" i="58" s="1"/>
  <c r="P5" i="58" s="1"/>
  <c r="G4" i="58"/>
  <c r="H4" i="58" s="1"/>
  <c r="I4" i="58" s="1"/>
  <c r="J4" i="58" s="1"/>
  <c r="K4" i="58" s="1"/>
  <c r="M4" i="58" s="1"/>
  <c r="N4" i="58" s="1"/>
  <c r="O4" i="58" s="1"/>
  <c r="P4" i="58" s="1"/>
  <c r="G2" i="58"/>
  <c r="G1" i="58"/>
  <c r="H1" i="58" s="1"/>
  <c r="I1" i="58" s="1"/>
  <c r="J1" i="58" s="1"/>
  <c r="G4" i="36"/>
  <c r="G1" i="36"/>
  <c r="H1" i="36"/>
  <c r="I1" i="36" s="1"/>
  <c r="J1" i="36"/>
  <c r="K1" i="36"/>
  <c r="K1" i="58"/>
  <c r="M1" i="58" s="1"/>
  <c r="P1" i="58"/>
  <c r="G3" i="34"/>
  <c r="N2" i="34"/>
  <c r="G2" i="34"/>
  <c r="G1" i="34"/>
  <c r="R90" i="76"/>
  <c r="Q90" i="76"/>
  <c r="Q89" i="76"/>
  <c r="H3" i="34"/>
  <c r="I3" i="34" s="1"/>
  <c r="J3" i="34" s="1"/>
  <c r="K3" i="34" s="1"/>
  <c r="N14" i="34"/>
  <c r="M14" i="34"/>
  <c r="G3" i="32"/>
  <c r="G2" i="32"/>
  <c r="H2" i="32"/>
  <c r="I2" i="32" s="1"/>
  <c r="J2" i="32" s="1"/>
  <c r="K2" i="32" s="1"/>
  <c r="G1" i="32"/>
  <c r="N43" i="20"/>
  <c r="R68" i="76" s="1"/>
  <c r="M43" i="20"/>
  <c r="Q68" i="76" s="1"/>
  <c r="G3" i="20"/>
  <c r="G2" i="20"/>
  <c r="G1" i="20"/>
  <c r="N28" i="17"/>
  <c r="N30" i="17"/>
  <c r="M26" i="17"/>
  <c r="M18" i="17"/>
  <c r="M14" i="17"/>
  <c r="M12" i="17"/>
  <c r="N10" i="17"/>
  <c r="M30" i="17"/>
  <c r="M28" i="17"/>
  <c r="M22" i="17"/>
  <c r="M20" i="17"/>
  <c r="M10" i="17"/>
  <c r="G1" i="17"/>
  <c r="O13" i="28"/>
  <c r="N13" i="28"/>
  <c r="O11" i="28"/>
  <c r="N11" i="28"/>
  <c r="G2" i="28"/>
  <c r="G1" i="28"/>
  <c r="G1" i="39"/>
  <c r="N18" i="17"/>
  <c r="N22" i="17"/>
  <c r="N20" i="17"/>
  <c r="G1" i="6"/>
  <c r="H1" i="6" s="1"/>
  <c r="I1" i="6" s="1"/>
  <c r="J1" i="6" s="1"/>
  <c r="K1" i="6" s="1"/>
  <c r="N1" i="6"/>
  <c r="T72" i="73"/>
  <c r="V72" i="73"/>
  <c r="N71" i="73"/>
  <c r="P71" i="73" s="1"/>
  <c r="E71" i="73"/>
  <c r="G71" i="73" s="1"/>
  <c r="N116" i="73"/>
  <c r="P116" i="73" s="1"/>
  <c r="T116" i="73"/>
  <c r="V116" i="73"/>
  <c r="E116" i="73"/>
  <c r="G116" i="73" s="1"/>
  <c r="N73" i="73"/>
  <c r="P73" i="73"/>
  <c r="E115" i="73"/>
  <c r="G115" i="73"/>
  <c r="E114" i="73"/>
  <c r="G114" i="73" s="1"/>
  <c r="N72" i="73"/>
  <c r="P72" i="73" s="1"/>
  <c r="N114" i="73"/>
  <c r="P114" i="73"/>
  <c r="T115" i="73"/>
  <c r="V115" i="73"/>
  <c r="E73" i="73"/>
  <c r="G73" i="73" s="1"/>
  <c r="T71" i="73"/>
  <c r="V71" i="73" s="1"/>
  <c r="N115" i="73"/>
  <c r="P115" i="73" s="1"/>
  <c r="E72" i="73"/>
  <c r="G72" i="73" s="1"/>
  <c r="T114" i="73"/>
  <c r="V114" i="73" s="1"/>
  <c r="T73" i="73"/>
  <c r="V73" i="73" s="1"/>
  <c r="B37" i="55"/>
  <c r="B34" i="55"/>
  <c r="B31" i="55"/>
  <c r="B26" i="55"/>
  <c r="B25" i="55"/>
  <c r="B24" i="55"/>
  <c r="B23" i="55"/>
  <c r="B18" i="55"/>
  <c r="B17" i="55"/>
  <c r="B16" i="55"/>
  <c r="B15" i="55"/>
  <c r="B14" i="55"/>
  <c r="E13" i="55"/>
  <c r="E14" i="55" s="1"/>
  <c r="E15" i="55" s="1"/>
  <c r="E16" i="55" s="1"/>
  <c r="E17" i="55" s="1"/>
  <c r="E18" i="55" s="1"/>
  <c r="E21" i="55" s="1"/>
  <c r="E22" i="55" s="1"/>
  <c r="E23" i="55" s="1"/>
  <c r="E24" i="55" s="1"/>
  <c r="E25" i="55" s="1"/>
  <c r="E26" i="55" s="1"/>
  <c r="E29" i="55" s="1"/>
  <c r="E30" i="55" s="1"/>
  <c r="E31" i="55" s="1"/>
  <c r="E34" i="55" s="1"/>
  <c r="E37" i="55" s="1"/>
  <c r="B13" i="55"/>
  <c r="C12" i="55"/>
  <c r="G10" i="55"/>
  <c r="C10" i="55"/>
  <c r="B10" i="55"/>
  <c r="B17" i="56"/>
  <c r="B12" i="55" s="1"/>
  <c r="R89" i="76"/>
  <c r="L5" i="56"/>
  <c r="H1" i="59"/>
  <c r="I1" i="59" s="1"/>
  <c r="J1" i="59" s="1"/>
  <c r="K1" i="59" s="1"/>
  <c r="N1" i="59" s="1"/>
  <c r="H2" i="58"/>
  <c r="I2" i="58" s="1"/>
  <c r="J2" i="58" s="1"/>
  <c r="K2" i="58" s="1"/>
  <c r="M2" i="58" s="1"/>
  <c r="I287" i="76"/>
  <c r="I286" i="76"/>
  <c r="I288" i="76"/>
  <c r="I285" i="76"/>
  <c r="K209" i="76"/>
  <c r="K215" i="76"/>
  <c r="K210" i="76"/>
  <c r="K208" i="76"/>
  <c r="K212" i="76"/>
  <c r="K206" i="76"/>
  <c r="K203" i="76"/>
  <c r="K220" i="76"/>
  <c r="L220" i="76"/>
  <c r="K204" i="76"/>
  <c r="K217" i="76"/>
  <c r="K211" i="76"/>
  <c r="K205" i="76"/>
  <c r="K207" i="76"/>
  <c r="L219" i="76"/>
  <c r="K219" i="76"/>
  <c r="K216" i="76"/>
  <c r="K214" i="76"/>
  <c r="K218" i="76"/>
  <c r="L218" i="76"/>
  <c r="K221" i="76"/>
  <c r="L221" i="76"/>
  <c r="I280" i="76"/>
  <c r="H224" i="80"/>
  <c r="I283" i="76"/>
  <c r="H226" i="80"/>
  <c r="I181" i="76"/>
  <c r="H133" i="80"/>
  <c r="I190" i="76"/>
  <c r="H142" i="80"/>
  <c r="I189" i="76"/>
  <c r="H141" i="80"/>
  <c r="I187" i="76"/>
  <c r="H139" i="80"/>
  <c r="I184" i="76"/>
  <c r="H136" i="80"/>
  <c r="I182" i="76"/>
  <c r="H134" i="80"/>
  <c r="I186" i="76"/>
  <c r="H138" i="80"/>
  <c r="I185" i="76"/>
  <c r="H137" i="80"/>
  <c r="I188" i="76"/>
  <c r="H140" i="80"/>
  <c r="I179" i="76"/>
  <c r="H131" i="80"/>
  <c r="I183" i="76"/>
  <c r="H135" i="80"/>
  <c r="I180" i="76"/>
  <c r="H132" i="80"/>
  <c r="I284" i="76"/>
  <c r="H227" i="80"/>
  <c r="K213" i="76"/>
  <c r="K139" i="76"/>
  <c r="P118" i="76"/>
  <c r="L101" i="80"/>
  <c r="L99" i="80"/>
  <c r="P116" i="76"/>
  <c r="J170" i="80"/>
  <c r="L217" i="76"/>
  <c r="L208" i="76"/>
  <c r="J157" i="80"/>
  <c r="L211" i="76"/>
  <c r="J162" i="80"/>
  <c r="L212" i="76"/>
  <c r="J163" i="80"/>
  <c r="L206" i="76"/>
  <c r="J155" i="80"/>
  <c r="J161" i="80"/>
  <c r="L210" i="76"/>
  <c r="L216" i="76"/>
  <c r="J169" i="80"/>
  <c r="L204" i="76"/>
  <c r="J153" i="80"/>
  <c r="J156" i="80"/>
  <c r="L207" i="76"/>
  <c r="J167" i="80"/>
  <c r="L214" i="76"/>
  <c r="J160" i="80"/>
  <c r="L209" i="76"/>
  <c r="L205" i="76"/>
  <c r="J154" i="80"/>
  <c r="L213" i="76"/>
  <c r="J166" i="80"/>
  <c r="J152" i="80"/>
  <c r="L203" i="76"/>
  <c r="L215" i="76"/>
  <c r="J168" i="80"/>
  <c r="L19" i="36"/>
  <c r="H1" i="37"/>
  <c r="I1" i="37"/>
  <c r="J1" i="37" s="1"/>
  <c r="K1" i="37" s="1"/>
  <c r="H2" i="37"/>
  <c r="I2" i="37" s="1"/>
  <c r="J2" i="37" s="1"/>
  <c r="K2" i="37" s="1"/>
  <c r="I5" i="37"/>
  <c r="H4" i="37"/>
  <c r="I4" i="37"/>
  <c r="J4" i="37"/>
  <c r="K4" i="37" s="1"/>
  <c r="J5" i="37"/>
  <c r="K5" i="37" s="1"/>
  <c r="M2" i="37"/>
  <c r="N2" i="37" s="1"/>
  <c r="M1" i="37"/>
  <c r="N1" i="37" s="1"/>
  <c r="H1" i="20"/>
  <c r="H2" i="20"/>
  <c r="I2" i="20" s="1"/>
  <c r="J2" i="20" s="1"/>
  <c r="K2" i="20" s="1"/>
  <c r="H3" i="20"/>
  <c r="I3" i="20"/>
  <c r="J3" i="20"/>
  <c r="K3" i="20" s="1"/>
  <c r="I1" i="20"/>
  <c r="J1" i="20" s="1"/>
  <c r="K1" i="20" s="1"/>
  <c r="N2" i="20"/>
  <c r="N1" i="20"/>
  <c r="H1" i="32"/>
  <c r="N2" i="32"/>
  <c r="H3" i="32"/>
  <c r="I3" i="32"/>
  <c r="J3" i="32" s="1"/>
  <c r="K3" i="32" s="1"/>
  <c r="H1" i="34"/>
  <c r="I1" i="34"/>
  <c r="H2" i="34"/>
  <c r="I2" i="34" s="1"/>
  <c r="J2" i="34" s="1"/>
  <c r="K2" i="34" s="1"/>
  <c r="H1" i="39"/>
  <c r="I1" i="39"/>
  <c r="J1" i="39"/>
  <c r="I1" i="32"/>
  <c r="J1" i="32" s="1"/>
  <c r="K1" i="32" s="1"/>
  <c r="J1" i="34"/>
  <c r="K1" i="34" s="1"/>
  <c r="N1" i="34"/>
  <c r="O1" i="34" s="1"/>
  <c r="N1" i="32"/>
  <c r="H1" i="28"/>
  <c r="I1" i="28" s="1"/>
  <c r="J1" i="28" s="1"/>
  <c r="K1" i="28" s="1"/>
  <c r="H2" i="28"/>
  <c r="I2" i="28" s="1"/>
  <c r="J2" i="28" s="1"/>
  <c r="K2" i="28" s="1"/>
  <c r="H1" i="17"/>
  <c r="H4" i="36"/>
  <c r="I4" i="36" s="1"/>
  <c r="J4" i="36" s="1"/>
  <c r="K4" i="36" s="1"/>
  <c r="H1" i="35"/>
  <c r="I1" i="35" s="1"/>
  <c r="J1" i="35" s="1"/>
  <c r="K1" i="35" s="1"/>
  <c r="H2" i="35"/>
  <c r="I2" i="35" s="1"/>
  <c r="J2" i="35" s="1"/>
  <c r="K2" i="35" s="1"/>
  <c r="H1" i="40"/>
  <c r="I1" i="40"/>
  <c r="J1" i="40" s="1"/>
  <c r="M1" i="60"/>
  <c r="O1" i="21"/>
  <c r="H1" i="44"/>
  <c r="I1" i="44"/>
  <c r="J1" i="44" s="1"/>
  <c r="K1" i="44" s="1"/>
  <c r="M1" i="44" s="1"/>
  <c r="N1" i="44" s="1"/>
  <c r="H2" i="44"/>
  <c r="I2" i="44"/>
  <c r="J2" i="44" s="1"/>
  <c r="K2" i="44" s="1"/>
  <c r="O2" i="28"/>
  <c r="N1" i="60"/>
  <c r="O1" i="36"/>
  <c r="I1" i="17"/>
  <c r="M4" i="36"/>
  <c r="K1" i="40"/>
  <c r="N1" i="40" s="1"/>
  <c r="O1" i="40" s="1"/>
  <c r="J1" i="17"/>
  <c r="K1" i="17" s="1"/>
  <c r="O1" i="28"/>
  <c r="N1" i="35"/>
  <c r="N1" i="17"/>
  <c r="I192" i="76"/>
  <c r="I193" i="76"/>
  <c r="Q179" i="76"/>
  <c r="Q128" i="76"/>
  <c r="Q124" i="76"/>
  <c r="R128" i="76"/>
  <c r="M37" i="6"/>
  <c r="R13" i="76"/>
  <c r="R11" i="76"/>
  <c r="R16" i="76"/>
  <c r="R10" i="76"/>
  <c r="R15" i="76"/>
  <c r="R5" i="76"/>
  <c r="R9" i="76"/>
  <c r="R12" i="76"/>
  <c r="R7" i="76"/>
  <c r="N29" i="6"/>
  <c r="N27" i="6" s="1"/>
  <c r="R14" i="76"/>
  <c r="R6" i="76"/>
  <c r="R8" i="76"/>
  <c r="R4" i="76"/>
  <c r="N28" i="6"/>
  <c r="N51" i="80"/>
  <c r="R60" i="76"/>
  <c r="R61" i="76"/>
  <c r="R52" i="76"/>
  <c r="Q7" i="76"/>
  <c r="Q4" i="76"/>
  <c r="Q15" i="76"/>
  <c r="Q11" i="76"/>
  <c r="R23" i="76"/>
  <c r="Q5" i="76"/>
  <c r="Q12" i="76"/>
  <c r="Q13" i="76"/>
  <c r="Q10" i="76"/>
  <c r="Q16" i="76"/>
  <c r="Q9" i="76"/>
  <c r="L232" i="76"/>
  <c r="L236" i="76"/>
  <c r="L235" i="76"/>
  <c r="L224" i="76"/>
  <c r="L241" i="76"/>
  <c r="L234" i="76"/>
  <c r="L233" i="76"/>
  <c r="L230" i="76"/>
  <c r="L225" i="76"/>
  <c r="L247" i="76"/>
  <c r="L223" i="76"/>
  <c r="L240" i="76"/>
  <c r="L242" i="76"/>
  <c r="L237" i="76"/>
  <c r="J185" i="80"/>
  <c r="K236" i="76"/>
  <c r="J172" i="80"/>
  <c r="K223" i="76"/>
  <c r="J186" i="80"/>
  <c r="K237" i="76"/>
  <c r="K241" i="76"/>
  <c r="J190" i="80"/>
  <c r="K225" i="76"/>
  <c r="J174" i="80"/>
  <c r="K233" i="76"/>
  <c r="J182" i="80"/>
  <c r="K230" i="76"/>
  <c r="J179" i="80"/>
  <c r="J173" i="80"/>
  <c r="K224" i="76"/>
  <c r="J181" i="80"/>
  <c r="K232" i="76"/>
  <c r="J189" i="80"/>
  <c r="K240" i="76"/>
  <c r="J196" i="80"/>
  <c r="K247" i="76"/>
  <c r="J183" i="80"/>
  <c r="K234" i="76"/>
  <c r="K242" i="76"/>
  <c r="J191" i="80"/>
  <c r="K235" i="76"/>
  <c r="J184" i="80"/>
  <c r="Q8" i="76"/>
  <c r="M27" i="32"/>
  <c r="Q78" i="76" s="1"/>
  <c r="Q23" i="76"/>
  <c r="Q6" i="76"/>
  <c r="Q14" i="76"/>
  <c r="Q61" i="76"/>
  <c r="Q52" i="76"/>
  <c r="L226" i="76"/>
  <c r="L246" i="76"/>
  <c r="L229" i="76"/>
  <c r="L238" i="76"/>
  <c r="L243" i="76"/>
  <c r="L227" i="76"/>
  <c r="L245" i="76"/>
  <c r="L239" i="76"/>
  <c r="L228" i="76"/>
  <c r="L231" i="76"/>
  <c r="L244" i="76"/>
  <c r="J177" i="80"/>
  <c r="K228" i="76"/>
  <c r="J180" i="80"/>
  <c r="K231" i="76"/>
  <c r="K243" i="76"/>
  <c r="J192" i="80"/>
  <c r="J188" i="80"/>
  <c r="K239" i="76"/>
  <c r="J193" i="80"/>
  <c r="K244" i="76"/>
  <c r="K227" i="76"/>
  <c r="J176" i="80"/>
  <c r="J175" i="80"/>
  <c r="K226" i="76"/>
  <c r="K238" i="76"/>
  <c r="J187" i="80"/>
  <c r="K229" i="76"/>
  <c r="J178" i="80"/>
  <c r="J195" i="80"/>
  <c r="K246" i="76"/>
  <c r="K245" i="76"/>
  <c r="J194" i="80"/>
  <c r="L148" i="76"/>
  <c r="L144" i="76"/>
  <c r="L150" i="76"/>
  <c r="L130" i="76"/>
  <c r="L145" i="76"/>
  <c r="L146" i="76"/>
  <c r="L129" i="76"/>
  <c r="L149" i="76"/>
  <c r="L126" i="76"/>
  <c r="N131" i="80"/>
  <c r="L125" i="76"/>
  <c r="L124" i="76"/>
  <c r="L128" i="76"/>
  <c r="J140" i="80"/>
  <c r="K188" i="76"/>
  <c r="J115" i="80"/>
  <c r="K146" i="76"/>
  <c r="K128" i="76"/>
  <c r="J108" i="80"/>
  <c r="K151" i="76"/>
  <c r="J120" i="80"/>
  <c r="K127" i="76"/>
  <c r="J107" i="80"/>
  <c r="J133" i="80"/>
  <c r="K181" i="76"/>
  <c r="J104" i="80"/>
  <c r="K124" i="76"/>
  <c r="J116" i="80"/>
  <c r="K147" i="76"/>
  <c r="J99" i="80"/>
  <c r="K116" i="76"/>
  <c r="K180" i="76"/>
  <c r="J132" i="80"/>
  <c r="J119" i="80"/>
  <c r="K150" i="76"/>
  <c r="J136" i="80"/>
  <c r="K184" i="76"/>
  <c r="J138" i="80"/>
  <c r="K186" i="76"/>
  <c r="J137" i="80"/>
  <c r="K185" i="76"/>
  <c r="J114" i="80"/>
  <c r="K145" i="76"/>
  <c r="J118" i="80"/>
  <c r="K149" i="76"/>
  <c r="K144" i="76"/>
  <c r="J113" i="80"/>
  <c r="J142" i="80"/>
  <c r="K190" i="76"/>
  <c r="J111" i="80"/>
  <c r="K131" i="76"/>
  <c r="J109" i="80"/>
  <c r="K129" i="76"/>
  <c r="J131" i="80"/>
  <c r="K179" i="76"/>
  <c r="J105" i="80"/>
  <c r="K125" i="76"/>
  <c r="K187" i="76"/>
  <c r="J139" i="80"/>
  <c r="J110" i="80"/>
  <c r="K130" i="76"/>
  <c r="J141" i="80"/>
  <c r="K189" i="76"/>
  <c r="J117" i="80"/>
  <c r="K148" i="76"/>
  <c r="K182" i="76"/>
  <c r="J134" i="80"/>
  <c r="K183" i="76"/>
  <c r="J135" i="80"/>
  <c r="K126" i="76"/>
  <c r="J106" i="80"/>
  <c r="L12" i="36"/>
  <c r="L116" i="76" s="1"/>
  <c r="L183" i="76"/>
  <c r="L14" i="37"/>
  <c r="L185" i="76"/>
  <c r="L188" i="76"/>
  <c r="L182" i="76"/>
  <c r="L186" i="76"/>
  <c r="L190" i="76"/>
  <c r="L30" i="58"/>
  <c r="L179" i="76"/>
  <c r="L26" i="37"/>
  <c r="L14" i="58"/>
  <c r="L181" i="76"/>
  <c r="L184" i="76"/>
  <c r="L180" i="76"/>
  <c r="R186" i="76"/>
  <c r="L189" i="76"/>
  <c r="Q186" i="76"/>
  <c r="L187" i="76"/>
  <c r="R179" i="76"/>
  <c r="K135" i="76"/>
  <c r="K120" i="76"/>
  <c r="K136" i="76"/>
  <c r="K138" i="76"/>
  <c r="L134" i="76"/>
  <c r="K159" i="76"/>
  <c r="K154" i="76"/>
  <c r="K137" i="76"/>
  <c r="K134" i="76"/>
  <c r="K155" i="76"/>
  <c r="K121" i="76"/>
  <c r="L133" i="76"/>
  <c r="K158" i="76"/>
  <c r="K156" i="76"/>
  <c r="K157" i="76"/>
  <c r="K193" i="76"/>
  <c r="K133" i="76"/>
  <c r="K192" i="76"/>
  <c r="J101" i="80"/>
  <c r="K118" i="76"/>
  <c r="J100" i="80"/>
  <c r="K117" i="76"/>
  <c r="K119" i="76"/>
  <c r="J102" i="80"/>
  <c r="L26" i="36"/>
  <c r="L118" i="76" s="1"/>
  <c r="L285" i="76"/>
  <c r="K285" i="76"/>
  <c r="L286" i="76"/>
  <c r="K286" i="76"/>
  <c r="K284" i="76"/>
  <c r="J227" i="80"/>
  <c r="L284" i="76"/>
  <c r="K287" i="76"/>
  <c r="L287" i="76"/>
  <c r="L283" i="76"/>
  <c r="K283" i="76"/>
  <c r="J226" i="80"/>
  <c r="K288" i="76"/>
  <c r="L288" i="76"/>
  <c r="L251" i="76"/>
  <c r="L25" i="76"/>
  <c r="L28" i="76"/>
  <c r="L252" i="76"/>
  <c r="L253" i="76"/>
  <c r="L249" i="76"/>
  <c r="M20" i="21"/>
  <c r="H27" i="32"/>
  <c r="F18" i="6"/>
  <c r="J43" i="20"/>
  <c r="G11" i="28"/>
  <c r="J13" i="28"/>
  <c r="H37" i="32"/>
  <c r="H63" i="32"/>
  <c r="J18" i="6"/>
  <c r="J15" i="6" s="1"/>
  <c r="L20" i="21"/>
  <c r="L269" i="76" s="1"/>
  <c r="J32" i="6"/>
  <c r="J29" i="6" s="1"/>
  <c r="J24" i="17" s="1"/>
  <c r="G31" i="28"/>
  <c r="I32" i="6"/>
  <c r="I29" i="6"/>
  <c r="I24" i="17"/>
  <c r="I28" i="17" s="1"/>
  <c r="M15" i="21"/>
  <c r="H24" i="34"/>
  <c r="L16" i="21"/>
  <c r="L265" i="76" s="1"/>
  <c r="L21" i="21"/>
  <c r="L270" i="76"/>
  <c r="F15" i="39"/>
  <c r="F24" i="39" s="1"/>
  <c r="F29" i="28"/>
  <c r="J11" i="28"/>
  <c r="I29" i="28"/>
  <c r="H43" i="20"/>
  <c r="J31" i="28"/>
  <c r="M18" i="21"/>
  <c r="F43" i="34"/>
  <c r="F27" i="32"/>
  <c r="I21" i="6"/>
  <c r="H30" i="28"/>
  <c r="H18" i="6"/>
  <c r="I13" i="28"/>
  <c r="F13" i="28"/>
  <c r="F21" i="6"/>
  <c r="K261" i="76"/>
  <c r="L10" i="21"/>
  <c r="L261" i="76" s="1"/>
  <c r="M10" i="21"/>
  <c r="J205" i="80"/>
  <c r="F32" i="34"/>
  <c r="F26" i="34"/>
  <c r="K69" i="76"/>
  <c r="J63" i="80"/>
  <c r="L69" i="76"/>
  <c r="P251" i="76"/>
  <c r="L200" i="80"/>
  <c r="J81" i="80"/>
  <c r="L57" i="32"/>
  <c r="J56" i="32"/>
  <c r="M20" i="28"/>
  <c r="K29" i="28"/>
  <c r="K37" i="76"/>
  <c r="L20" i="28"/>
  <c r="L37" i="76"/>
  <c r="J36" i="80"/>
  <c r="L38" i="32"/>
  <c r="J37" i="32"/>
  <c r="J49" i="32" s="1"/>
  <c r="L49" i="32" s="1"/>
  <c r="J73" i="80"/>
  <c r="M9" i="28"/>
  <c r="K31" i="76"/>
  <c r="J30" i="80"/>
  <c r="L9" i="28"/>
  <c r="L31" i="76"/>
  <c r="H18" i="20"/>
  <c r="H12" i="20"/>
  <c r="J9" i="40"/>
  <c r="K21" i="76"/>
  <c r="J21" i="80"/>
  <c r="L42" i="6"/>
  <c r="L21" i="76"/>
  <c r="J207" i="80"/>
  <c r="M12" i="21"/>
  <c r="L12" i="21"/>
  <c r="L263" i="76" s="1"/>
  <c r="K263" i="76"/>
  <c r="J148" i="80"/>
  <c r="K199" i="76"/>
  <c r="L14" i="40"/>
  <c r="L199" i="76"/>
  <c r="H10" i="34"/>
  <c r="J54" i="80"/>
  <c r="L56" i="76"/>
  <c r="K55" i="76"/>
  <c r="L15" i="20"/>
  <c r="J124" i="80"/>
  <c r="L18" i="35"/>
  <c r="K163" i="76"/>
  <c r="L163" i="76"/>
  <c r="K41" i="76"/>
  <c r="J40" i="80"/>
  <c r="M24" i="28"/>
  <c r="L24" i="28"/>
  <c r="L41" i="76"/>
  <c r="I10" i="34"/>
  <c r="I14" i="34" s="1"/>
  <c r="K198" i="76"/>
  <c r="J147" i="80"/>
  <c r="L13" i="40"/>
  <c r="L198" i="76" s="1"/>
  <c r="K272" i="76"/>
  <c r="J216" i="80"/>
  <c r="M25" i="21"/>
  <c r="L25" i="21"/>
  <c r="L272" i="76" s="1"/>
  <c r="M21" i="28"/>
  <c r="L21" i="28"/>
  <c r="L38" i="76" s="1"/>
  <c r="K38" i="76"/>
  <c r="J37" i="80"/>
  <c r="K30" i="28"/>
  <c r="L12" i="44"/>
  <c r="K278" i="76"/>
  <c r="L278" i="76"/>
  <c r="J222" i="80"/>
  <c r="L10" i="28"/>
  <c r="L32" i="76" s="1"/>
  <c r="M10" i="28"/>
  <c r="J31" i="80"/>
  <c r="K11" i="28"/>
  <c r="K32" i="76"/>
  <c r="L9" i="44"/>
  <c r="J220" i="80"/>
  <c r="K276" i="76"/>
  <c r="L276" i="76"/>
  <c r="K262" i="76"/>
  <c r="J206" i="80"/>
  <c r="M11" i="21"/>
  <c r="L11" i="21"/>
  <c r="L262" i="76" s="1"/>
  <c r="I15" i="39"/>
  <c r="I24" i="39"/>
  <c r="L27" i="76"/>
  <c r="K43" i="76"/>
  <c r="M37" i="28"/>
  <c r="J42" i="80"/>
  <c r="L37" i="28"/>
  <c r="L43" i="76" s="1"/>
  <c r="J78" i="80"/>
  <c r="L44" i="32"/>
  <c r="J56" i="80"/>
  <c r="K57" i="76"/>
  <c r="L17" i="20"/>
  <c r="G10" i="34"/>
  <c r="G14" i="34" s="1"/>
  <c r="J15" i="39"/>
  <c r="J24" i="39" s="1"/>
  <c r="K27" i="76"/>
  <c r="J27" i="80"/>
  <c r="I18" i="20"/>
  <c r="I12" i="20"/>
  <c r="L16" i="44"/>
  <c r="L279" i="76"/>
  <c r="K279" i="76"/>
  <c r="J223" i="80"/>
  <c r="J18" i="80"/>
  <c r="K18" i="76"/>
  <c r="L18" i="76"/>
  <c r="L39" i="6"/>
  <c r="K37" i="6"/>
  <c r="K17" i="76"/>
  <c r="L38" i="6"/>
  <c r="J17" i="80"/>
  <c r="L17" i="76"/>
  <c r="K48" i="6"/>
  <c r="L22" i="76"/>
  <c r="J22" i="80"/>
  <c r="K22" i="76"/>
  <c r="J37" i="6"/>
  <c r="H37" i="6"/>
  <c r="H11" i="28"/>
  <c r="G30" i="28"/>
  <c r="H43" i="34"/>
  <c r="H47" i="34" s="1"/>
  <c r="H13" i="28"/>
  <c r="G27" i="32"/>
  <c r="M19" i="21"/>
  <c r="H15" i="39"/>
  <c r="H24" i="39"/>
  <c r="I30" i="28"/>
  <c r="J41" i="80"/>
  <c r="M36" i="28"/>
  <c r="K42" i="76"/>
  <c r="L36" i="28"/>
  <c r="L42" i="76" s="1"/>
  <c r="F39" i="32"/>
  <c r="F45" i="32"/>
  <c r="J92" i="80"/>
  <c r="L30" i="34"/>
  <c r="H48" i="6"/>
  <c r="L14" i="76"/>
  <c r="K32" i="6"/>
  <c r="L33" i="6"/>
  <c r="J14" i="80"/>
  <c r="K14" i="76"/>
  <c r="L23" i="76"/>
  <c r="J23" i="80"/>
  <c r="L47" i="6"/>
  <c r="K23" i="76"/>
  <c r="L165" i="76"/>
  <c r="K165" i="76"/>
  <c r="L26" i="35"/>
  <c r="J126" i="80"/>
  <c r="H17" i="28"/>
  <c r="H32" i="28" s="1"/>
  <c r="H33" i="28"/>
  <c r="H27" i="28"/>
  <c r="J65" i="80"/>
  <c r="L11" i="32"/>
  <c r="J10" i="32"/>
  <c r="H9" i="40"/>
  <c r="F10" i="32"/>
  <c r="L10" i="32" s="1"/>
  <c r="J82" i="80"/>
  <c r="L58" i="32"/>
  <c r="J97" i="80"/>
  <c r="L45" i="34"/>
  <c r="L63" i="76"/>
  <c r="K62" i="76"/>
  <c r="L30" i="20"/>
  <c r="J59" i="80"/>
  <c r="I48" i="6"/>
  <c r="L9" i="21"/>
  <c r="L260" i="76"/>
  <c r="J204" i="80"/>
  <c r="M9" i="21"/>
  <c r="K260" i="76"/>
  <c r="J74" i="80"/>
  <c r="J39" i="32"/>
  <c r="L40" i="32"/>
  <c r="J45" i="32"/>
  <c r="L25" i="6"/>
  <c r="J11" i="80"/>
  <c r="L11" i="76"/>
  <c r="K11" i="76"/>
  <c r="K200" i="76"/>
  <c r="J149" i="80"/>
  <c r="L15" i="40"/>
  <c r="L200" i="76"/>
  <c r="J91" i="80"/>
  <c r="L29" i="34"/>
  <c r="L16" i="6"/>
  <c r="K4" i="76"/>
  <c r="L4" i="76"/>
  <c r="J4" i="80"/>
  <c r="K5" i="76"/>
  <c r="J5" i="80"/>
  <c r="L17" i="6"/>
  <c r="L5" i="76"/>
  <c r="K66" i="76"/>
  <c r="L67" i="76"/>
  <c r="J61" i="80"/>
  <c r="L250" i="76"/>
  <c r="F27" i="28"/>
  <c r="N29" i="28"/>
  <c r="O33" i="28"/>
  <c r="N31" i="28"/>
  <c r="N30" i="28"/>
  <c r="N32" i="28"/>
  <c r="O29" i="28"/>
  <c r="O28" i="28"/>
  <c r="N27" i="28"/>
  <c r="O31" i="28"/>
  <c r="O27" i="28"/>
  <c r="N28" i="28"/>
  <c r="N33" i="28"/>
  <c r="O30" i="28"/>
  <c r="O32" i="28"/>
  <c r="F17" i="28"/>
  <c r="F32" i="28" s="1"/>
  <c r="F33" i="28"/>
  <c r="L30" i="6"/>
  <c r="K12" i="76"/>
  <c r="J12" i="80"/>
  <c r="L12" i="76"/>
  <c r="L24" i="32"/>
  <c r="J69" i="80"/>
  <c r="F10" i="34"/>
  <c r="F14" i="34" s="1"/>
  <c r="J57" i="80"/>
  <c r="L19" i="20"/>
  <c r="L59" i="76"/>
  <c r="K58" i="76"/>
  <c r="G17" i="28"/>
  <c r="G32" i="28"/>
  <c r="G27" i="28"/>
  <c r="J146" i="80"/>
  <c r="K197" i="76"/>
  <c r="L12" i="40"/>
  <c r="L197" i="76" s="1"/>
  <c r="J95" i="80"/>
  <c r="L34" i="34"/>
  <c r="L10" i="35"/>
  <c r="K161" i="76"/>
  <c r="J122" i="80"/>
  <c r="L161" i="76"/>
  <c r="L31" i="6"/>
  <c r="K13" i="76"/>
  <c r="J13" i="80"/>
  <c r="L13" i="76"/>
  <c r="K43" i="20"/>
  <c r="K67" i="76"/>
  <c r="J62" i="80"/>
  <c r="J27" i="28"/>
  <c r="J17" i="28"/>
  <c r="J32" i="28" s="1"/>
  <c r="J145" i="80"/>
  <c r="L11" i="40"/>
  <c r="L196" i="76" s="1"/>
  <c r="K196" i="76"/>
  <c r="L11" i="35"/>
  <c r="K162" i="76"/>
  <c r="L162" i="76"/>
  <c r="J123" i="80"/>
  <c r="F31" i="28"/>
  <c r="L17" i="21"/>
  <c r="L266" i="76" s="1"/>
  <c r="J21" i="6"/>
  <c r="I31" i="28"/>
  <c r="I37" i="6"/>
  <c r="H31" i="28"/>
  <c r="H32" i="6"/>
  <c r="H29" i="6" s="1"/>
  <c r="H27" i="6" s="1"/>
  <c r="F30" i="28"/>
  <c r="G32" i="6"/>
  <c r="G29" i="6"/>
  <c r="J30" i="28"/>
  <c r="J35" i="80"/>
  <c r="K36" i="76"/>
  <c r="L19" i="28"/>
  <c r="L36" i="76" s="1"/>
  <c r="M19" i="28"/>
  <c r="K28" i="28"/>
  <c r="L16" i="40"/>
  <c r="L201" i="76"/>
  <c r="J150" i="80"/>
  <c r="K201" i="76"/>
  <c r="I10" i="32"/>
  <c r="L167" i="76"/>
  <c r="J128" i="80"/>
  <c r="L34" i="35"/>
  <c r="K167" i="76"/>
  <c r="L10" i="76"/>
  <c r="L24" i="6"/>
  <c r="K10" i="76"/>
  <c r="J10" i="80"/>
  <c r="G48" i="6"/>
  <c r="L27" i="21"/>
  <c r="L274" i="76"/>
  <c r="M27" i="21"/>
  <c r="J218" i="80"/>
  <c r="K274" i="76"/>
  <c r="L164" i="76"/>
  <c r="J125" i="80"/>
  <c r="L19" i="35"/>
  <c r="K164" i="76"/>
  <c r="J94" i="80"/>
  <c r="L33" i="34"/>
  <c r="K20" i="76"/>
  <c r="J20" i="80"/>
  <c r="L41" i="6"/>
  <c r="L20" i="76"/>
  <c r="J72" i="80"/>
  <c r="L32" i="32"/>
  <c r="J48" i="6"/>
  <c r="J28" i="80"/>
  <c r="K28" i="76"/>
  <c r="M22" i="28"/>
  <c r="J38" i="80"/>
  <c r="K31" i="28"/>
  <c r="L22" i="28"/>
  <c r="L39" i="76" s="1"/>
  <c r="K39" i="76"/>
  <c r="K25" i="76"/>
  <c r="J25" i="80"/>
  <c r="J18" i="20"/>
  <c r="J12" i="20"/>
  <c r="J51" i="80"/>
  <c r="K52" i="76"/>
  <c r="L11" i="20"/>
  <c r="K19" i="76"/>
  <c r="J19" i="80"/>
  <c r="L19" i="76"/>
  <c r="L40" i="6"/>
  <c r="L10" i="40"/>
  <c r="L195" i="76" s="1"/>
  <c r="J144" i="80"/>
  <c r="K195" i="76"/>
  <c r="K9" i="40"/>
  <c r="G18" i="20"/>
  <c r="G12" i="20"/>
  <c r="G9" i="40"/>
  <c r="J90" i="80"/>
  <c r="L28" i="34"/>
  <c r="L15" i="21"/>
  <c r="L264" i="76" s="1"/>
  <c r="H39" i="32"/>
  <c r="H49" i="32" s="1"/>
  <c r="H45" i="32"/>
  <c r="M23" i="28"/>
  <c r="J39" i="80"/>
  <c r="K40" i="76"/>
  <c r="L23" i="28"/>
  <c r="L40" i="76" s="1"/>
  <c r="L14" i="20"/>
  <c r="J53" i="80"/>
  <c r="K54" i="76"/>
  <c r="L55" i="76"/>
  <c r="J127" i="80"/>
  <c r="L27" i="35"/>
  <c r="L166" i="76"/>
  <c r="K166" i="76"/>
  <c r="K9" i="76"/>
  <c r="L23" i="6"/>
  <c r="J9" i="80"/>
  <c r="L9" i="76"/>
  <c r="J75" i="80"/>
  <c r="L41" i="32"/>
  <c r="I17" i="28"/>
  <c r="I33" i="28" s="1"/>
  <c r="I27" i="28"/>
  <c r="L6" i="76"/>
  <c r="K18" i="6"/>
  <c r="L19" i="6"/>
  <c r="K6" i="76"/>
  <c r="J6" i="80"/>
  <c r="F24" i="34"/>
  <c r="L24" i="34" s="1"/>
  <c r="G37" i="6"/>
  <c r="G15" i="39"/>
  <c r="G24" i="39" s="1"/>
  <c r="I11" i="28"/>
  <c r="I27" i="32"/>
  <c r="H21" i="6"/>
  <c r="F56" i="32"/>
  <c r="F60" i="32" s="1"/>
  <c r="G28" i="28"/>
  <c r="H56" i="32"/>
  <c r="H60" i="32" s="1"/>
  <c r="I18" i="6"/>
  <c r="I15" i="6" s="1"/>
  <c r="F11" i="28"/>
  <c r="G29" i="28"/>
  <c r="K8" i="76"/>
  <c r="J8" i="80"/>
  <c r="L8" i="76"/>
  <c r="K21" i="6"/>
  <c r="L22" i="6"/>
  <c r="J93" i="80"/>
  <c r="L31" i="34"/>
  <c r="K16" i="76"/>
  <c r="J16" i="80"/>
  <c r="L35" i="6"/>
  <c r="L16" i="76"/>
  <c r="J24" i="34"/>
  <c r="L25" i="34"/>
  <c r="J88" i="80"/>
  <c r="J221" i="80"/>
  <c r="K277" i="76"/>
  <c r="L277" i="76"/>
  <c r="L10" i="44"/>
  <c r="F48" i="6"/>
  <c r="J26" i="34"/>
  <c r="J89" i="80"/>
  <c r="J32" i="34"/>
  <c r="L27" i="34"/>
  <c r="G10" i="32"/>
  <c r="I9" i="40"/>
  <c r="J58" i="80"/>
  <c r="L20" i="20"/>
  <c r="K59" i="76"/>
  <c r="L42" i="32"/>
  <c r="J76" i="80"/>
  <c r="K280" i="76"/>
  <c r="L280" i="76"/>
  <c r="J224" i="80"/>
  <c r="J79" i="80"/>
  <c r="L46" i="32"/>
  <c r="J43" i="34"/>
  <c r="J96" i="80"/>
  <c r="L44" i="34"/>
  <c r="K56" i="76"/>
  <c r="L16" i="20"/>
  <c r="J55" i="80"/>
  <c r="L57" i="76"/>
  <c r="L26" i="21"/>
  <c r="L273" i="76" s="1"/>
  <c r="J217" i="80"/>
  <c r="M26" i="21"/>
  <c r="K273" i="76"/>
  <c r="J80" i="80"/>
  <c r="L47" i="32"/>
  <c r="L35" i="35"/>
  <c r="K168" i="76"/>
  <c r="L168" i="76"/>
  <c r="J129" i="80"/>
  <c r="K18" i="20"/>
  <c r="L54" i="76"/>
  <c r="K12" i="20"/>
  <c r="L12" i="20" s="1"/>
  <c r="L13" i="20"/>
  <c r="K53" i="76"/>
  <c r="J52" i="80"/>
  <c r="L11" i="34"/>
  <c r="J84" i="80"/>
  <c r="J10" i="34"/>
  <c r="K17" i="28"/>
  <c r="K35" i="76"/>
  <c r="M18" i="28"/>
  <c r="J34" i="80"/>
  <c r="K27" i="28"/>
  <c r="L18" i="28"/>
  <c r="L35" i="76"/>
  <c r="J77" i="80"/>
  <c r="L43" i="32"/>
  <c r="L34" i="6"/>
  <c r="J15" i="80"/>
  <c r="K15" i="76"/>
  <c r="L15" i="76"/>
  <c r="L12" i="34"/>
  <c r="J85" i="80"/>
  <c r="L25" i="32"/>
  <c r="J70" i="80"/>
  <c r="J27" i="32"/>
  <c r="M24" i="21"/>
  <c r="J215" i="80"/>
  <c r="L24" i="21"/>
  <c r="L271" i="76" s="1"/>
  <c r="K271" i="76"/>
  <c r="H10" i="32"/>
  <c r="J32" i="80"/>
  <c r="K13" i="28"/>
  <c r="K33" i="76"/>
  <c r="L12" i="28"/>
  <c r="L33" i="76" s="1"/>
  <c r="M12" i="28"/>
  <c r="L12" i="32"/>
  <c r="J66" i="80"/>
  <c r="J7" i="80"/>
  <c r="K7" i="76"/>
  <c r="L20" i="6"/>
  <c r="L7" i="76"/>
  <c r="H26" i="34"/>
  <c r="H32" i="34"/>
  <c r="F12" i="20"/>
  <c r="F18" i="20"/>
  <c r="L18" i="20" s="1"/>
  <c r="K26" i="76"/>
  <c r="J26" i="80"/>
  <c r="P252" i="76"/>
  <c r="L201" i="80"/>
  <c r="J60" i="80"/>
  <c r="L31" i="20"/>
  <c r="K63" i="76"/>
  <c r="F37" i="32"/>
  <c r="F52" i="32" s="1"/>
  <c r="F63" i="32"/>
  <c r="F37" i="6"/>
  <c r="H29" i="28"/>
  <c r="G13" i="28"/>
  <c r="G18" i="6"/>
  <c r="H28" i="28"/>
  <c r="F28" i="28"/>
  <c r="J29" i="28"/>
  <c r="I43" i="20"/>
  <c r="M17" i="21"/>
  <c r="L18" i="21"/>
  <c r="L267" i="76"/>
  <c r="F9" i="40"/>
  <c r="L9" i="40" s="1"/>
  <c r="M21" i="21"/>
  <c r="I28" i="28"/>
  <c r="J28" i="28"/>
  <c r="L19" i="21"/>
  <c r="L268" i="76" s="1"/>
  <c r="G21" i="6"/>
  <c r="F32" i="6"/>
  <c r="L32" i="6" s="1"/>
  <c r="M16" i="21"/>
  <c r="H52" i="32"/>
  <c r="G15" i="6"/>
  <c r="H14" i="32"/>
  <c r="I27" i="6"/>
  <c r="I28" i="6"/>
  <c r="L37" i="6"/>
  <c r="F36" i="34"/>
  <c r="G14" i="32"/>
  <c r="H15" i="6"/>
  <c r="F49" i="32"/>
  <c r="J14" i="32"/>
  <c r="K15" i="6"/>
  <c r="L21" i="6"/>
  <c r="L68" i="76"/>
  <c r="F39" i="34"/>
  <c r="J14" i="34"/>
  <c r="K29" i="6"/>
  <c r="L58" i="76"/>
  <c r="J63" i="32"/>
  <c r="L37" i="32"/>
  <c r="J50" i="34"/>
  <c r="G33" i="28"/>
  <c r="L39" i="32"/>
  <c r="H28" i="6"/>
  <c r="H24" i="17"/>
  <c r="J27" i="6"/>
  <c r="J28" i="6" s="1"/>
  <c r="J47" i="34"/>
  <c r="M17" i="28"/>
  <c r="P15" i="76"/>
  <c r="L15" i="80"/>
  <c r="L53" i="76"/>
  <c r="G13" i="6"/>
  <c r="G16" i="17" s="1"/>
  <c r="K24" i="17"/>
  <c r="K26" i="17" s="1"/>
  <c r="K27" i="6"/>
  <c r="K28" i="6" s="1"/>
  <c r="K13" i="6"/>
  <c r="K16" i="17" s="1"/>
  <c r="G14" i="6"/>
  <c r="K14" i="6"/>
  <c r="H26" i="17"/>
  <c r="J30" i="17"/>
  <c r="J28" i="17"/>
  <c r="K68" i="76"/>
  <c r="I30" i="17"/>
  <c r="K65" i="76"/>
  <c r="K61" i="76"/>
  <c r="I26" i="17"/>
  <c r="K64" i="76"/>
  <c r="K60" i="76"/>
  <c r="J26" i="17"/>
  <c r="L40" i="34"/>
  <c r="L53" i="32"/>
  <c r="H17" i="32"/>
  <c r="H21" i="32"/>
  <c r="H31" i="32"/>
  <c r="H34" i="32"/>
  <c r="J17" i="32"/>
  <c r="J21" i="32"/>
  <c r="L18" i="32"/>
  <c r="J67" i="80"/>
  <c r="J31" i="32"/>
  <c r="J71" i="80" s="1"/>
  <c r="L175" i="76"/>
  <c r="L30" i="35"/>
  <c r="K175" i="76"/>
  <c r="G13" i="17"/>
  <c r="J11" i="17"/>
  <c r="I17" i="34"/>
  <c r="I21" i="34"/>
  <c r="L170" i="76"/>
  <c r="K170" i="76"/>
  <c r="L13" i="35"/>
  <c r="G9" i="17"/>
  <c r="G8" i="17" s="1"/>
  <c r="G14" i="17" s="1"/>
  <c r="H17" i="34"/>
  <c r="H21" i="34" s="1"/>
  <c r="L19" i="34"/>
  <c r="J87" i="80"/>
  <c r="L174" i="76"/>
  <c r="K174" i="76"/>
  <c r="L29" i="35"/>
  <c r="L28" i="32"/>
  <c r="K172" i="76"/>
  <c r="L172" i="76"/>
  <c r="L21" i="35"/>
  <c r="I9" i="17"/>
  <c r="H11" i="17"/>
  <c r="I17" i="32"/>
  <c r="I21" i="32"/>
  <c r="I31" i="32"/>
  <c r="I34" i="32"/>
  <c r="J13" i="17"/>
  <c r="J14" i="17" s="1"/>
  <c r="K48" i="76"/>
  <c r="L48" i="76"/>
  <c r="J47" i="80"/>
  <c r="L25" i="17"/>
  <c r="G17" i="34"/>
  <c r="K47" i="76"/>
  <c r="L21" i="17"/>
  <c r="L47" i="76"/>
  <c r="J46" i="80"/>
  <c r="K13" i="17"/>
  <c r="L13" i="17" s="1"/>
  <c r="K22" i="17"/>
  <c r="L19" i="32"/>
  <c r="J68" i="80"/>
  <c r="L27" i="17"/>
  <c r="J48" i="80"/>
  <c r="K49" i="76"/>
  <c r="L49" i="76"/>
  <c r="G11" i="17"/>
  <c r="G20" i="17"/>
  <c r="I11" i="17"/>
  <c r="F9" i="17"/>
  <c r="J44" i="80"/>
  <c r="L17" i="17"/>
  <c r="L45" i="76"/>
  <c r="K9" i="17"/>
  <c r="K45" i="76"/>
  <c r="K18" i="17"/>
  <c r="K281" i="76"/>
  <c r="L281" i="76"/>
  <c r="J45" i="80"/>
  <c r="K46" i="76"/>
  <c r="L19" i="17"/>
  <c r="L46" i="76"/>
  <c r="K11" i="17"/>
  <c r="L11" i="17" s="1"/>
  <c r="K20" i="17"/>
  <c r="L37" i="34"/>
  <c r="K173" i="76"/>
  <c r="L22" i="35"/>
  <c r="L173" i="76"/>
  <c r="K176" i="76"/>
  <c r="L176" i="76"/>
  <c r="L37" i="35"/>
  <c r="J9" i="17"/>
  <c r="J10" i="17" s="1"/>
  <c r="F13" i="17"/>
  <c r="K50" i="76"/>
  <c r="L50" i="76"/>
  <c r="L29" i="17"/>
  <c r="J49" i="80"/>
  <c r="K30" i="17"/>
  <c r="G17" i="32"/>
  <c r="G21" i="32"/>
  <c r="G31" i="32"/>
  <c r="G34" i="32"/>
  <c r="J17" i="34"/>
  <c r="J21" i="34"/>
  <c r="L18" i="34"/>
  <c r="J86" i="80"/>
  <c r="L50" i="32"/>
  <c r="H9" i="17"/>
  <c r="H13" i="17"/>
  <c r="L171" i="76"/>
  <c r="K171" i="76"/>
  <c r="L14" i="35"/>
  <c r="I13" i="17"/>
  <c r="F17" i="34"/>
  <c r="F21" i="34"/>
  <c r="K177" i="76"/>
  <c r="L38" i="35"/>
  <c r="L177" i="76"/>
  <c r="F11" i="17"/>
  <c r="F12" i="17" s="1"/>
  <c r="F17" i="32"/>
  <c r="F21" i="32" s="1"/>
  <c r="F31" i="32"/>
  <c r="F34" i="32" s="1"/>
  <c r="J8" i="17"/>
  <c r="J12" i="17" s="1"/>
  <c r="F8" i="17"/>
  <c r="F10" i="17"/>
  <c r="L17" i="32"/>
  <c r="L17" i="34"/>
  <c r="L31" i="32"/>
  <c r="J34" i="32"/>
  <c r="L34" i="32"/>
  <c r="G26" i="55"/>
  <c r="G30" i="55"/>
  <c r="G31" i="55"/>
  <c r="G15" i="55"/>
  <c r="G34" i="55"/>
  <c r="G12" i="55"/>
  <c r="G13" i="55"/>
  <c r="G16" i="55"/>
  <c r="G37" i="55"/>
  <c r="G17" i="55"/>
  <c r="G23" i="55"/>
  <c r="G25" i="55"/>
  <c r="G22" i="55"/>
  <c r="G14" i="55"/>
  <c r="G29" i="55"/>
  <c r="G18" i="55"/>
  <c r="G21" i="55"/>
  <c r="J38" i="83" l="1"/>
  <c r="B37" i="83"/>
  <c r="O49" i="73"/>
  <c r="F72" i="73"/>
  <c r="U65" i="73"/>
  <c r="F91" i="73"/>
  <c r="O108" i="73"/>
  <c r="F52" i="73"/>
  <c r="F25" i="73"/>
  <c r="U108" i="73"/>
  <c r="U71" i="73"/>
  <c r="F73" i="73"/>
  <c r="U86" i="73"/>
  <c r="O73" i="73"/>
  <c r="U47" i="73"/>
  <c r="O47" i="73"/>
  <c r="N47" i="34"/>
  <c r="N60" i="32"/>
  <c r="R93" i="76" s="1"/>
  <c r="R91" i="76"/>
  <c r="Q91" i="76"/>
  <c r="M60" i="32"/>
  <c r="Q93" i="76" s="1"/>
  <c r="M14" i="32"/>
  <c r="Q73" i="76" s="1"/>
  <c r="M34" i="32"/>
  <c r="F88" i="73"/>
  <c r="F23" i="73"/>
  <c r="U115" i="73"/>
  <c r="F87" i="73"/>
  <c r="U110" i="73"/>
  <c r="O93" i="73"/>
  <c r="F94" i="73"/>
  <c r="U73" i="73"/>
  <c r="U72" i="73"/>
  <c r="O44" i="73"/>
  <c r="F29" i="73"/>
  <c r="F110" i="73"/>
  <c r="U52" i="73"/>
  <c r="F115" i="73"/>
  <c r="F70" i="73"/>
  <c r="U66" i="73"/>
  <c r="O91" i="73"/>
  <c r="F109" i="73"/>
  <c r="O48" i="73"/>
  <c r="U114" i="73"/>
  <c r="O50" i="73"/>
  <c r="U45" i="73"/>
  <c r="O68" i="73"/>
  <c r="F116" i="73"/>
  <c r="O110" i="73"/>
  <c r="O114" i="73"/>
  <c r="O87" i="73"/>
  <c r="F44" i="73"/>
  <c r="O66" i="73"/>
  <c r="F48" i="73"/>
  <c r="F114" i="73"/>
  <c r="O65" i="73"/>
  <c r="O89" i="73"/>
  <c r="U88" i="73"/>
  <c r="F27" i="73"/>
  <c r="O71" i="73"/>
  <c r="F89" i="73"/>
  <c r="U70" i="73"/>
  <c r="O90" i="73"/>
  <c r="O45" i="73"/>
  <c r="F65" i="73"/>
  <c r="F112" i="73"/>
  <c r="U92" i="73"/>
  <c r="O88" i="73"/>
  <c r="F31" i="73"/>
  <c r="F51" i="73"/>
  <c r="F67" i="73"/>
  <c r="O52" i="73"/>
  <c r="U109" i="73"/>
  <c r="O69" i="73"/>
  <c r="F30" i="73"/>
  <c r="F93" i="73"/>
  <c r="F47" i="73"/>
  <c r="U49" i="73"/>
  <c r="U67" i="73"/>
  <c r="O67" i="73"/>
  <c r="U68" i="73"/>
  <c r="F45" i="73"/>
  <c r="F111" i="73"/>
  <c r="F50" i="73"/>
  <c r="F28" i="73"/>
  <c r="D20" i="73"/>
  <c r="U91" i="73"/>
  <c r="F90" i="73"/>
  <c r="U46" i="73"/>
  <c r="O70" i="73"/>
  <c r="O94" i="73"/>
  <c r="U94" i="73"/>
  <c r="F113" i="73"/>
  <c r="U50" i="73"/>
  <c r="O111" i="73"/>
  <c r="U51" i="73"/>
  <c r="F26" i="73"/>
  <c r="U113" i="73"/>
  <c r="O46" i="73"/>
  <c r="U44" i="73"/>
  <c r="O51" i="73"/>
  <c r="F86" i="73"/>
  <c r="O109" i="73"/>
  <c r="F71" i="73"/>
  <c r="U48" i="73"/>
  <c r="O113" i="73"/>
  <c r="F108" i="73"/>
  <c r="U111" i="73"/>
  <c r="F24" i="73"/>
  <c r="U112" i="73"/>
  <c r="F46" i="73"/>
  <c r="O72" i="73"/>
  <c r="U87" i="73"/>
  <c r="O115" i="73"/>
  <c r="O92" i="73"/>
  <c r="F68" i="73"/>
  <c r="O112" i="73"/>
  <c r="F92" i="73"/>
  <c r="U93" i="73"/>
  <c r="O86" i="73"/>
  <c r="U90" i="73"/>
  <c r="F49" i="73"/>
  <c r="F66" i="73"/>
  <c r="O116" i="73"/>
  <c r="U69" i="73"/>
  <c r="F69" i="73"/>
  <c r="U116" i="73"/>
  <c r="G22" i="17"/>
  <c r="G18" i="17"/>
  <c r="J36" i="34"/>
  <c r="L26" i="34"/>
  <c r="I13" i="6"/>
  <c r="H50" i="34"/>
  <c r="H36" i="34"/>
  <c r="J13" i="6"/>
  <c r="M29" i="20"/>
  <c r="K9" i="39"/>
  <c r="G12" i="17"/>
  <c r="L9" i="17"/>
  <c r="K34" i="76"/>
  <c r="L17" i="28"/>
  <c r="L34" i="76" s="1"/>
  <c r="K32" i="28"/>
  <c r="G10" i="17"/>
  <c r="K28" i="17"/>
  <c r="L10" i="34"/>
  <c r="I14" i="6"/>
  <c r="I8" i="17"/>
  <c r="I10" i="17"/>
  <c r="J33" i="80"/>
  <c r="I14" i="32"/>
  <c r="J60" i="32"/>
  <c r="L56" i="32"/>
  <c r="K12" i="17"/>
  <c r="K33" i="28"/>
  <c r="H30" i="17"/>
  <c r="H28" i="17"/>
  <c r="L27" i="32"/>
  <c r="L32" i="34"/>
  <c r="J39" i="34"/>
  <c r="L39" i="34" s="1"/>
  <c r="L45" i="32"/>
  <c r="J52" i="32"/>
  <c r="L52" i="32" s="1"/>
  <c r="F14" i="17"/>
  <c r="K8" i="17"/>
  <c r="G21" i="34"/>
  <c r="G9" i="6"/>
  <c r="H14" i="6"/>
  <c r="H13" i="6"/>
  <c r="L18" i="6"/>
  <c r="F15" i="6"/>
  <c r="N67" i="80"/>
  <c r="R74" i="76"/>
  <c r="N21" i="32"/>
  <c r="M5" i="56"/>
  <c r="G5" i="56"/>
  <c r="H8" i="17"/>
  <c r="H12" i="17" s="1"/>
  <c r="J33" i="28"/>
  <c r="H14" i="34"/>
  <c r="F47" i="34"/>
  <c r="L43" i="34"/>
  <c r="K9" i="6"/>
  <c r="F29" i="6"/>
  <c r="H39" i="34"/>
  <c r="F50" i="34"/>
  <c r="I32" i="28"/>
  <c r="G24" i="17"/>
  <c r="G27" i="6"/>
  <c r="G28" i="6"/>
  <c r="F14" i="32"/>
  <c r="N29" i="20"/>
  <c r="L9" i="39"/>
  <c r="R77" i="76"/>
  <c r="N70" i="80"/>
  <c r="N33" i="80"/>
  <c r="R34" i="76"/>
  <c r="M50" i="34"/>
  <c r="M47" i="34"/>
  <c r="N14" i="32"/>
  <c r="R73" i="76" s="1"/>
  <c r="N65" i="80"/>
  <c r="R71" i="76"/>
  <c r="N72" i="80"/>
  <c r="N34" i="32"/>
  <c r="R80" i="76"/>
  <c r="M33" i="80"/>
  <c r="Q34" i="76"/>
  <c r="N12" i="17"/>
  <c r="N14" i="17"/>
  <c r="Q77" i="76"/>
  <c r="N208" i="80"/>
  <c r="R264" i="76"/>
  <c r="D10" i="73"/>
  <c r="J39" i="83" l="1"/>
  <c r="B38" i="83"/>
  <c r="I14" i="17"/>
  <c r="I12" i="17"/>
  <c r="J16" i="17"/>
  <c r="J9" i="6"/>
  <c r="F27" i="6"/>
  <c r="L27" i="6" s="1"/>
  <c r="F24" i="17"/>
  <c r="L29" i="6"/>
  <c r="E24" i="73"/>
  <c r="G24" i="73" s="1"/>
  <c r="G9" i="39"/>
  <c r="G10" i="20"/>
  <c r="G26" i="17"/>
  <c r="G28" i="17"/>
  <c r="G30" i="17"/>
  <c r="F13" i="6"/>
  <c r="F14" i="6"/>
  <c r="L15" i="6"/>
  <c r="H10" i="17"/>
  <c r="M36" i="20"/>
  <c r="Q65" i="76" s="1"/>
  <c r="M59" i="80"/>
  <c r="M33" i="20"/>
  <c r="Q64" i="76" s="1"/>
  <c r="Q62" i="76"/>
  <c r="L36" i="34"/>
  <c r="G10" i="6"/>
  <c r="K10" i="6"/>
  <c r="K11" i="6"/>
  <c r="K10" i="20"/>
  <c r="K14" i="17"/>
  <c r="L8" i="17"/>
  <c r="G11" i="6"/>
  <c r="H16" i="17"/>
  <c r="H9" i="6"/>
  <c r="H11" i="6" s="1"/>
  <c r="J14" i="6"/>
  <c r="N33" i="20"/>
  <c r="R64" i="76" s="1"/>
  <c r="N36" i="20"/>
  <c r="R65" i="76" s="1"/>
  <c r="N59" i="80"/>
  <c r="R62" i="76"/>
  <c r="N5" i="56"/>
  <c r="G8" i="56"/>
  <c r="H14" i="17"/>
  <c r="K10" i="17"/>
  <c r="I16" i="17"/>
  <c r="I9" i="6"/>
  <c r="I11" i="6" s="1"/>
  <c r="J40" i="83" l="1"/>
  <c r="B39" i="83"/>
  <c r="T29" i="73"/>
  <c r="V29" i="73" s="1"/>
  <c r="T27" i="73"/>
  <c r="V27" i="73" s="1"/>
  <c r="S16" i="73"/>
  <c r="G29" i="20"/>
  <c r="G33" i="20"/>
  <c r="G36" i="20"/>
  <c r="G22" i="20"/>
  <c r="N24" i="73" s="1"/>
  <c r="P24" i="73" s="1"/>
  <c r="G25" i="20"/>
  <c r="J18" i="17"/>
  <c r="J20" i="17"/>
  <c r="J22" i="17"/>
  <c r="F16" i="17"/>
  <c r="F9" i="6"/>
  <c r="F11" i="6" s="1"/>
  <c r="L13" i="6"/>
  <c r="M16" i="73"/>
  <c r="D59" i="73"/>
  <c r="S17" i="73"/>
  <c r="N29" i="73"/>
  <c r="P29" i="73" s="1"/>
  <c r="T24" i="73"/>
  <c r="V24" i="73" s="1"/>
  <c r="T26" i="73"/>
  <c r="V26" i="73" s="1"/>
  <c r="M19" i="73"/>
  <c r="E67" i="73"/>
  <c r="G67" i="73" s="1"/>
  <c r="N3" i="73"/>
  <c r="E69" i="73"/>
  <c r="G69" i="73" s="1"/>
  <c r="S19" i="73"/>
  <c r="M17" i="73"/>
  <c r="D61" i="73"/>
  <c r="N30" i="73"/>
  <c r="P30" i="73" s="1"/>
  <c r="D57" i="73"/>
  <c r="E68" i="73"/>
  <c r="G68" i="73" s="1"/>
  <c r="T31" i="73"/>
  <c r="V31" i="73" s="1"/>
  <c r="T23" i="73"/>
  <c r="V23" i="73" s="1"/>
  <c r="E27" i="73"/>
  <c r="G27" i="73" s="1"/>
  <c r="J10" i="20"/>
  <c r="J9" i="39"/>
  <c r="J10" i="6"/>
  <c r="T28" i="73"/>
  <c r="V28" i="73" s="1"/>
  <c r="J11" i="6"/>
  <c r="I10" i="20"/>
  <c r="I9" i="39"/>
  <c r="E26" i="73"/>
  <c r="G26" i="73" s="1"/>
  <c r="I10" i="6"/>
  <c r="S18" i="73"/>
  <c r="K33" i="20"/>
  <c r="K25" i="20"/>
  <c r="L52" i="76"/>
  <c r="K36" i="20"/>
  <c r="L65" i="76" s="1"/>
  <c r="K29" i="20"/>
  <c r="K22" i="20"/>
  <c r="I22" i="17"/>
  <c r="I20" i="17"/>
  <c r="I18" i="17"/>
  <c r="N31" i="73"/>
  <c r="P31" i="73" s="1"/>
  <c r="S15" i="73"/>
  <c r="T3" i="73"/>
  <c r="D58" i="73"/>
  <c r="C15" i="36"/>
  <c r="I122" i="76" s="1"/>
  <c r="C22" i="36"/>
  <c r="H10" i="20"/>
  <c r="H9" i="39"/>
  <c r="E25" i="73"/>
  <c r="G25" i="73" s="1"/>
  <c r="H10" i="6"/>
  <c r="T30" i="73"/>
  <c r="V30" i="73" s="1"/>
  <c r="M18" i="73"/>
  <c r="E28" i="73"/>
  <c r="G28" i="73" s="1"/>
  <c r="M15" i="73"/>
  <c r="T25" i="73"/>
  <c r="V25" i="73" s="1"/>
  <c r="F26" i="17"/>
  <c r="F28" i="17"/>
  <c r="L24" i="17"/>
  <c r="F30" i="17"/>
  <c r="G7" i="56"/>
  <c r="O5" i="56"/>
  <c r="H20" i="17"/>
  <c r="H18" i="17"/>
  <c r="H22" i="17"/>
  <c r="F28" i="6"/>
  <c r="B40" i="83" l="1"/>
  <c r="J41" i="83"/>
  <c r="S20" i="73"/>
  <c r="L60" i="76"/>
  <c r="I29" i="20"/>
  <c r="I33" i="20"/>
  <c r="I36" i="20"/>
  <c r="I22" i="20"/>
  <c r="N26" i="73" s="1"/>
  <c r="P26" i="73" s="1"/>
  <c r="I25" i="20"/>
  <c r="D62" i="73"/>
  <c r="M20" i="73"/>
  <c r="J36" i="20"/>
  <c r="J33" i="20"/>
  <c r="J29" i="20"/>
  <c r="J22" i="20"/>
  <c r="N27" i="73" s="1"/>
  <c r="P27" i="73" s="1"/>
  <c r="J25" i="20"/>
  <c r="E5" i="73"/>
  <c r="E70" i="73"/>
  <c r="G70" i="73" s="1"/>
  <c r="N65" i="73"/>
  <c r="P65" i="73" s="1"/>
  <c r="L62" i="76"/>
  <c r="E65" i="73"/>
  <c r="G65" i="73" s="1"/>
  <c r="H33" i="20"/>
  <c r="H36" i="20"/>
  <c r="H29" i="20"/>
  <c r="H25" i="20"/>
  <c r="H22" i="20"/>
  <c r="N25" i="73" s="1"/>
  <c r="P25" i="73" s="1"/>
  <c r="L61" i="76"/>
  <c r="F9" i="39"/>
  <c r="F10" i="20"/>
  <c r="L9" i="6"/>
  <c r="F10" i="6"/>
  <c r="P5" i="56"/>
  <c r="H9" i="56"/>
  <c r="N66" i="73"/>
  <c r="P66" i="73" s="1"/>
  <c r="L64" i="76"/>
  <c r="O28" i="73"/>
  <c r="U26" i="73"/>
  <c r="U27" i="73"/>
  <c r="U24" i="73"/>
  <c r="U28" i="73"/>
  <c r="U29" i="73"/>
  <c r="O25" i="73"/>
  <c r="O27" i="73"/>
  <c r="O23" i="73"/>
  <c r="O30" i="73"/>
  <c r="U31" i="73"/>
  <c r="U30" i="73"/>
  <c r="U25" i="73"/>
  <c r="O31" i="73"/>
  <c r="O24" i="73"/>
  <c r="O26" i="73"/>
  <c r="U23" i="73"/>
  <c r="O29" i="73"/>
  <c r="D60" i="73"/>
  <c r="F20" i="17"/>
  <c r="F18" i="17"/>
  <c r="F22" i="17"/>
  <c r="L16" i="17"/>
  <c r="E66" i="73"/>
  <c r="G66" i="73" s="1"/>
  <c r="B41" i="83" l="1"/>
  <c r="J42" i="83"/>
  <c r="E23" i="73"/>
  <c r="G23" i="73" s="1"/>
  <c r="Q5" i="56"/>
  <c r="G9" i="56"/>
  <c r="J9" i="56" s="1"/>
  <c r="F36" i="20"/>
  <c r="F33" i="20"/>
  <c r="F29" i="20"/>
  <c r="L29" i="20" s="1"/>
  <c r="F25" i="20"/>
  <c r="F22" i="20"/>
  <c r="N23" i="73" s="1"/>
  <c r="P23" i="73" s="1"/>
  <c r="L10" i="20"/>
  <c r="M58" i="73"/>
  <c r="N67" i="73"/>
  <c r="P67" i="73" s="1"/>
  <c r="N5" i="73"/>
  <c r="N69" i="73"/>
  <c r="P69" i="73" s="1"/>
  <c r="M61" i="73"/>
  <c r="M57" i="73"/>
  <c r="M60" i="73"/>
  <c r="N70" i="73"/>
  <c r="P70" i="73" s="1"/>
  <c r="N68" i="73"/>
  <c r="P68" i="73" s="1"/>
  <c r="M59" i="73"/>
  <c r="T67" i="73"/>
  <c r="V67" i="73" s="1"/>
  <c r="N28" i="73"/>
  <c r="P28" i="73" s="1"/>
  <c r="J43" i="83" l="1"/>
  <c r="B42" i="83"/>
  <c r="T65" i="73"/>
  <c r="V65" i="73" s="1"/>
  <c r="C32" i="37"/>
  <c r="I157" i="76" s="1"/>
  <c r="C36" i="58"/>
  <c r="I136" i="76" s="1"/>
  <c r="C21" i="35"/>
  <c r="I172" i="76" s="1"/>
  <c r="C48" i="34"/>
  <c r="I113" i="76" s="1"/>
  <c r="C13" i="35"/>
  <c r="I170" i="76" s="1"/>
  <c r="C22" i="58"/>
  <c r="I135" i="76" s="1"/>
  <c r="C22" i="37"/>
  <c r="I156" i="76" s="1"/>
  <c r="C22" i="35"/>
  <c r="I173" i="76" s="1"/>
  <c r="C61" i="32"/>
  <c r="I93" i="76" s="1"/>
  <c r="C14" i="35"/>
  <c r="I171" i="76" s="1"/>
  <c r="C34" i="37"/>
  <c r="I159" i="76" s="1"/>
  <c r="C20" i="58"/>
  <c r="I133" i="76" s="1"/>
  <c r="C50" i="32"/>
  <c r="I89" i="76" s="1"/>
  <c r="C13" i="44"/>
  <c r="I281" i="76" s="1"/>
  <c r="C23" i="20"/>
  <c r="I60" i="76" s="1"/>
  <c r="C44" i="20"/>
  <c r="I68" i="76" s="1"/>
  <c r="C37" i="58"/>
  <c r="I137" i="76" s="1"/>
  <c r="C33" i="37"/>
  <c r="I158" i="76" s="1"/>
  <c r="C53" i="32"/>
  <c r="I90" i="76" s="1"/>
  <c r="C15" i="32"/>
  <c r="I73" i="76" s="1"/>
  <c r="C26" i="20"/>
  <c r="I61" i="76" s="1"/>
  <c r="C37" i="34"/>
  <c r="I109" i="76" s="1"/>
  <c r="C21" i="58"/>
  <c r="I134" i="76" s="1"/>
  <c r="C40" i="34"/>
  <c r="I110" i="76" s="1"/>
  <c r="C21" i="36"/>
  <c r="C38" i="58"/>
  <c r="I138" i="76" s="1"/>
  <c r="C29" i="35"/>
  <c r="I174" i="76" s="1"/>
  <c r="C20" i="37"/>
  <c r="I154" i="76" s="1"/>
  <c r="C64" i="32"/>
  <c r="I94" i="76" s="1"/>
  <c r="C30" i="35"/>
  <c r="I175" i="76" s="1"/>
  <c r="C15" i="41"/>
  <c r="I256" i="76" s="1"/>
  <c r="C14" i="36"/>
  <c r="I120" i="76" s="1"/>
  <c r="C37" i="35"/>
  <c r="I176" i="76" s="1"/>
  <c r="C51" i="34"/>
  <c r="I114" i="76" s="1"/>
  <c r="C21" i="37"/>
  <c r="I155" i="76" s="1"/>
  <c r="C34" i="20"/>
  <c r="I64" i="76" s="1"/>
  <c r="C37" i="20"/>
  <c r="I65" i="76" s="1"/>
  <c r="C28" i="36"/>
  <c r="I121" i="76" s="1"/>
  <c r="C38" i="35"/>
  <c r="I177" i="76" s="1"/>
  <c r="C15" i="34"/>
  <c r="I98" i="76" s="1"/>
  <c r="C28" i="32"/>
  <c r="I78" i="76" s="1"/>
  <c r="G6" i="56"/>
  <c r="M62" i="73"/>
  <c r="T68" i="73"/>
  <c r="V68" i="73" s="1"/>
  <c r="N50" i="73"/>
  <c r="P50" i="73" s="1"/>
  <c r="T5" i="73"/>
  <c r="S60" i="73"/>
  <c r="N45" i="73"/>
  <c r="P45" i="73" s="1"/>
  <c r="N51" i="73"/>
  <c r="P51" i="73" s="1"/>
  <c r="T70" i="73"/>
  <c r="V70" i="73" s="1"/>
  <c r="S58" i="73"/>
  <c r="S57" i="73"/>
  <c r="S61" i="73"/>
  <c r="T69" i="73"/>
  <c r="V69" i="73" s="1"/>
  <c r="T66" i="73"/>
  <c r="V66" i="73" s="1"/>
  <c r="S59" i="73"/>
  <c r="N48" i="73"/>
  <c r="P48" i="73" s="1"/>
  <c r="H10" i="56"/>
  <c r="R5" i="56"/>
  <c r="G10" i="56" s="1"/>
  <c r="B43" i="83" l="1"/>
  <c r="J46" i="83"/>
  <c r="M40" i="73"/>
  <c r="N49" i="73"/>
  <c r="P49" i="73" s="1"/>
  <c r="S62" i="73"/>
  <c r="M36" i="73"/>
  <c r="N44" i="73"/>
  <c r="P44" i="73" s="1"/>
  <c r="M39" i="73"/>
  <c r="C11" i="60"/>
  <c r="C31" i="60"/>
  <c r="C19" i="17"/>
  <c r="C12" i="21"/>
  <c r="C12" i="60"/>
  <c r="C25" i="21"/>
  <c r="C10" i="59"/>
  <c r="C29" i="34"/>
  <c r="C24" i="32"/>
  <c r="C16" i="44"/>
  <c r="C17" i="39"/>
  <c r="C27" i="21"/>
  <c r="C16" i="40"/>
  <c r="C11" i="41"/>
  <c r="C32" i="59"/>
  <c r="C15" i="20"/>
  <c r="C9" i="44"/>
  <c r="C11" i="40"/>
  <c r="C16" i="6"/>
  <c r="C24" i="6"/>
  <c r="C36" i="28"/>
  <c r="C58" i="32"/>
  <c r="C35" i="60"/>
  <c r="C22" i="60"/>
  <c r="C11" i="59"/>
  <c r="C19" i="35"/>
  <c r="C23" i="28"/>
  <c r="C31" i="34"/>
  <c r="C18" i="59"/>
  <c r="C15" i="21"/>
  <c r="C16" i="58"/>
  <c r="C33" i="60"/>
  <c r="C41" i="6"/>
  <c r="C31" i="32"/>
  <c r="C15" i="60"/>
  <c r="C12" i="32"/>
  <c r="C26" i="35"/>
  <c r="C14" i="40"/>
  <c r="C18" i="35"/>
  <c r="C46" i="6"/>
  <c r="C12" i="40"/>
  <c r="C31" i="59"/>
  <c r="C15" i="37"/>
  <c r="C33" i="34"/>
  <c r="C11" i="21"/>
  <c r="C20" i="59"/>
  <c r="C13" i="39"/>
  <c r="C38" i="32"/>
  <c r="C34" i="35"/>
  <c r="C17" i="21"/>
  <c r="C17" i="17"/>
  <c r="C20" i="60"/>
  <c r="C42" i="32"/>
  <c r="C35" i="6"/>
  <c r="C16" i="21"/>
  <c r="C15" i="58"/>
  <c r="C41" i="32"/>
  <c r="C21" i="17"/>
  <c r="C30" i="59"/>
  <c r="C20" i="6"/>
  <c r="C19" i="36"/>
  <c r="C39" i="6"/>
  <c r="C25" i="32"/>
  <c r="C19" i="28"/>
  <c r="C12" i="59"/>
  <c r="C10" i="40"/>
  <c r="C25" i="60"/>
  <c r="C25" i="17"/>
  <c r="C33" i="6"/>
  <c r="C15" i="40"/>
  <c r="C32" i="60"/>
  <c r="C44" i="32"/>
  <c r="C17" i="58"/>
  <c r="C15" i="39"/>
  <c r="C12" i="44"/>
  <c r="C40" i="20"/>
  <c r="C10" i="35"/>
  <c r="C24" i="59"/>
  <c r="C14" i="37"/>
  <c r="C20" i="28"/>
  <c r="C19" i="34"/>
  <c r="C14" i="59"/>
  <c r="C42" i="6"/>
  <c r="C36" i="60"/>
  <c r="C34" i="60"/>
  <c r="C20" i="21"/>
  <c r="C41" i="20"/>
  <c r="C30" i="41"/>
  <c r="C30" i="20"/>
  <c r="C20" i="20"/>
  <c r="C43" i="32"/>
  <c r="C21" i="59"/>
  <c r="C21" i="21"/>
  <c r="C29" i="37"/>
  <c r="C28" i="60"/>
  <c r="C28" i="37"/>
  <c r="C13" i="40"/>
  <c r="C28" i="34"/>
  <c r="C13" i="60"/>
  <c r="C22" i="6"/>
  <c r="C32" i="32"/>
  <c r="C26" i="60"/>
  <c r="C31" i="58"/>
  <c r="C21" i="60"/>
  <c r="C23" i="6"/>
  <c r="C34" i="34"/>
  <c r="C11" i="39"/>
  <c r="C11" i="20"/>
  <c r="C16" i="37"/>
  <c r="C27" i="60"/>
  <c r="C26" i="59"/>
  <c r="C24" i="28"/>
  <c r="C30" i="6"/>
  <c r="C10" i="60"/>
  <c r="C18" i="28"/>
  <c r="C20" i="36"/>
  <c r="C19" i="6"/>
  <c r="C10" i="28"/>
  <c r="C11" i="32"/>
  <c r="C38" i="6"/>
  <c r="C22" i="28"/>
  <c r="C24" i="60"/>
  <c r="C11" i="34"/>
  <c r="C19" i="32"/>
  <c r="C19" i="59"/>
  <c r="C12" i="28"/>
  <c r="C34" i="6"/>
  <c r="C14" i="60"/>
  <c r="C47" i="20"/>
  <c r="C28" i="59"/>
  <c r="C26" i="36"/>
  <c r="C31" i="6"/>
  <c r="C9" i="60"/>
  <c r="C18" i="32"/>
  <c r="C24" i="21"/>
  <c r="C17" i="6"/>
  <c r="C10" i="44"/>
  <c r="C10" i="21"/>
  <c r="C27" i="34"/>
  <c r="C12" i="36"/>
  <c r="C45" i="34"/>
  <c r="C35" i="35"/>
  <c r="C21" i="28"/>
  <c r="C27" i="17"/>
  <c r="C28" i="41"/>
  <c r="C18" i="34"/>
  <c r="C30" i="34"/>
  <c r="C13" i="36"/>
  <c r="C16" i="60"/>
  <c r="A12" i="73"/>
  <c r="C17" i="20"/>
  <c r="C29" i="41"/>
  <c r="C15" i="59"/>
  <c r="C17" i="28"/>
  <c r="C27" i="59"/>
  <c r="C47" i="6"/>
  <c r="C46" i="32"/>
  <c r="C23" i="60"/>
  <c r="C57" i="32"/>
  <c r="C37" i="28"/>
  <c r="C14" i="58"/>
  <c r="C47" i="32"/>
  <c r="C13" i="59"/>
  <c r="C27" i="36"/>
  <c r="C25" i="6"/>
  <c r="C16" i="20"/>
  <c r="C11" i="35"/>
  <c r="C16" i="39"/>
  <c r="C30" i="58"/>
  <c r="C9" i="21"/>
  <c r="C19" i="21"/>
  <c r="C32" i="58"/>
  <c r="C17" i="37"/>
  <c r="C26" i="21"/>
  <c r="C31" i="20"/>
  <c r="C17" i="60"/>
  <c r="C14" i="20"/>
  <c r="C12" i="34"/>
  <c r="C25" i="59"/>
  <c r="C19" i="20"/>
  <c r="C37" i="60"/>
  <c r="C27" i="37"/>
  <c r="C25" i="34"/>
  <c r="C27" i="35"/>
  <c r="C13" i="20"/>
  <c r="C29" i="17"/>
  <c r="C44" i="34"/>
  <c r="C29" i="59"/>
  <c r="C26" i="37"/>
  <c r="C18" i="21"/>
  <c r="C40" i="32"/>
  <c r="C40" i="6"/>
  <c r="C9" i="28"/>
  <c r="C33" i="58"/>
  <c r="C12" i="41"/>
  <c r="J47" i="83" l="1"/>
  <c r="B46" i="83"/>
  <c r="H180" i="80"/>
  <c r="I231" i="76"/>
  <c r="I49" i="76"/>
  <c r="H48" i="80"/>
  <c r="I41" i="76"/>
  <c r="H40" i="80"/>
  <c r="I37" i="76"/>
  <c r="H36" i="80"/>
  <c r="I81" i="76"/>
  <c r="H73" i="80"/>
  <c r="H183" i="80"/>
  <c r="I234" i="76"/>
  <c r="I55" i="76"/>
  <c r="H54" i="80"/>
  <c r="I104" i="76"/>
  <c r="H91" i="80"/>
  <c r="T4" i="73"/>
  <c r="S37" i="73"/>
  <c r="T52" i="73"/>
  <c r="V52" i="73" s="1"/>
  <c r="I267" i="76"/>
  <c r="H211" i="80"/>
  <c r="I149" i="76"/>
  <c r="H118" i="80"/>
  <c r="I63" i="76"/>
  <c r="H60" i="80"/>
  <c r="I162" i="76"/>
  <c r="H123" i="80"/>
  <c r="H81" i="80"/>
  <c r="I91" i="76"/>
  <c r="I57" i="76"/>
  <c r="H56" i="80"/>
  <c r="I38" i="76"/>
  <c r="H37" i="80"/>
  <c r="I271" i="76"/>
  <c r="H215" i="80"/>
  <c r="H15" i="80"/>
  <c r="I15" i="76"/>
  <c r="H65" i="80"/>
  <c r="I71" i="76"/>
  <c r="H164" i="80"/>
  <c r="I215" i="76"/>
  <c r="I129" i="76"/>
  <c r="H109" i="80"/>
  <c r="I240" i="76"/>
  <c r="H189" i="80"/>
  <c r="I67" i="76"/>
  <c r="H62" i="80"/>
  <c r="I144" i="76"/>
  <c r="H113" i="80"/>
  <c r="I242" i="76"/>
  <c r="H191" i="80"/>
  <c r="I77" i="76"/>
  <c r="H70" i="80"/>
  <c r="I265" i="76"/>
  <c r="H209" i="80"/>
  <c r="I26" i="76"/>
  <c r="H26" i="80"/>
  <c r="I163" i="76"/>
  <c r="H124" i="80"/>
  <c r="H106" i="80"/>
  <c r="I126" i="76"/>
  <c r="H194" i="80"/>
  <c r="I245" i="76"/>
  <c r="H170" i="80"/>
  <c r="I221" i="76"/>
  <c r="H152" i="80"/>
  <c r="I203" i="76"/>
  <c r="S39" i="73"/>
  <c r="I148" i="76"/>
  <c r="H117" i="80"/>
  <c r="I273" i="76"/>
  <c r="H217" i="80"/>
  <c r="I56" i="76"/>
  <c r="H55" i="80"/>
  <c r="H184" i="80"/>
  <c r="I235" i="76"/>
  <c r="H129" i="80"/>
  <c r="I168" i="76"/>
  <c r="I74" i="76"/>
  <c r="H67" i="80"/>
  <c r="I33" i="76"/>
  <c r="H32" i="80"/>
  <c r="I32" i="76"/>
  <c r="H31" i="80"/>
  <c r="H188" i="80"/>
  <c r="I239" i="76"/>
  <c r="H187" i="80"/>
  <c r="I238" i="76"/>
  <c r="I151" i="76"/>
  <c r="H120" i="80"/>
  <c r="I269" i="76"/>
  <c r="H213" i="80"/>
  <c r="I213" i="76"/>
  <c r="H162" i="80"/>
  <c r="H149" i="80"/>
  <c r="I200" i="76"/>
  <c r="I18" i="76"/>
  <c r="H18" i="80"/>
  <c r="H16" i="80"/>
  <c r="I16" i="76"/>
  <c r="I211" i="76"/>
  <c r="H160" i="80"/>
  <c r="I199" i="76"/>
  <c r="H148" i="80"/>
  <c r="I264" i="76"/>
  <c r="H208" i="80"/>
  <c r="I92" i="76"/>
  <c r="H82" i="80"/>
  <c r="H198" i="80"/>
  <c r="I249" i="76"/>
  <c r="I272" i="76"/>
  <c r="H216" i="80"/>
  <c r="H27" i="80"/>
  <c r="I27" i="76"/>
  <c r="I5" i="76"/>
  <c r="H5" i="80"/>
  <c r="H182" i="80"/>
  <c r="I233" i="76"/>
  <c r="I86" i="76"/>
  <c r="H78" i="80"/>
  <c r="I22" i="76"/>
  <c r="H22" i="80"/>
  <c r="I147" i="76"/>
  <c r="H116" i="80"/>
  <c r="H179" i="80"/>
  <c r="I230" i="76"/>
  <c r="H172" i="80"/>
  <c r="I223" i="76"/>
  <c r="I146" i="76"/>
  <c r="H115" i="80"/>
  <c r="I244" i="76"/>
  <c r="H193" i="80"/>
  <c r="I165" i="76"/>
  <c r="H126" i="80"/>
  <c r="I201" i="76"/>
  <c r="H150" i="80"/>
  <c r="I250" i="76"/>
  <c r="H199" i="80"/>
  <c r="I130" i="76"/>
  <c r="H110" i="80"/>
  <c r="H100" i="80"/>
  <c r="I117" i="76"/>
  <c r="I75" i="76"/>
  <c r="H68" i="80"/>
  <c r="I8" i="76"/>
  <c r="H8" i="80"/>
  <c r="I66" i="76"/>
  <c r="H61" i="80"/>
  <c r="H181" i="80"/>
  <c r="I232" i="76"/>
  <c r="I106" i="76"/>
  <c r="H93" i="80"/>
  <c r="H207" i="80"/>
  <c r="I263" i="76"/>
  <c r="I131" i="76"/>
  <c r="H111" i="80"/>
  <c r="H163" i="80"/>
  <c r="I214" i="76"/>
  <c r="I268" i="76"/>
  <c r="H212" i="80"/>
  <c r="H155" i="80"/>
  <c r="I206" i="76"/>
  <c r="H165" i="80"/>
  <c r="I216" i="76"/>
  <c r="I105" i="76"/>
  <c r="H92" i="80"/>
  <c r="H89" i="80"/>
  <c r="I102" i="76"/>
  <c r="H101" i="80"/>
  <c r="I118" i="76"/>
  <c r="I96" i="76"/>
  <c r="H84" i="80"/>
  <c r="H34" i="80"/>
  <c r="I35" i="76"/>
  <c r="I25" i="76"/>
  <c r="H25" i="80"/>
  <c r="H176" i="80"/>
  <c r="I227" i="76"/>
  <c r="I85" i="76"/>
  <c r="H77" i="80"/>
  <c r="H21" i="80"/>
  <c r="I21" i="76"/>
  <c r="I278" i="76"/>
  <c r="H222" i="80"/>
  <c r="H186" i="80"/>
  <c r="I237" i="76"/>
  <c r="I219" i="76"/>
  <c r="H168" i="80"/>
  <c r="I45" i="76"/>
  <c r="H44" i="80"/>
  <c r="I145" i="76"/>
  <c r="H114" i="80"/>
  <c r="H178" i="80"/>
  <c r="I229" i="76"/>
  <c r="I40" i="76"/>
  <c r="H39" i="80"/>
  <c r="H4" i="80"/>
  <c r="I4" i="76"/>
  <c r="I28" i="76"/>
  <c r="H28" i="80"/>
  <c r="I46" i="76"/>
  <c r="H45" i="80"/>
  <c r="I82" i="76"/>
  <c r="H74" i="80"/>
  <c r="I43" i="76"/>
  <c r="H42" i="80"/>
  <c r="I228" i="76"/>
  <c r="H177" i="80"/>
  <c r="I150" i="76"/>
  <c r="H119" i="80"/>
  <c r="I36" i="76"/>
  <c r="H35" i="80"/>
  <c r="H192" i="80"/>
  <c r="I243" i="76"/>
  <c r="I247" i="76"/>
  <c r="H196" i="80"/>
  <c r="I87" i="76"/>
  <c r="H79" i="80"/>
  <c r="I210" i="76"/>
  <c r="H159" i="80"/>
  <c r="H214" i="80"/>
  <c r="I270" i="76"/>
  <c r="H14" i="80"/>
  <c r="I14" i="76"/>
  <c r="H206" i="80"/>
  <c r="I262" i="76"/>
  <c r="I42" i="76"/>
  <c r="H41" i="80"/>
  <c r="I111" i="76"/>
  <c r="H96" i="80"/>
  <c r="H102" i="80"/>
  <c r="I119" i="76"/>
  <c r="H99" i="80"/>
  <c r="I116" i="76"/>
  <c r="H161" i="80"/>
  <c r="I212" i="76"/>
  <c r="I48" i="76"/>
  <c r="H47" i="80"/>
  <c r="I107" i="76"/>
  <c r="H94" i="80"/>
  <c r="H10" i="80"/>
  <c r="I10" i="76"/>
  <c r="E48" i="73"/>
  <c r="G48" i="73" s="1"/>
  <c r="I50" i="76"/>
  <c r="H49" i="80"/>
  <c r="I31" i="76"/>
  <c r="H30" i="80"/>
  <c r="I53" i="76"/>
  <c r="H52" i="80"/>
  <c r="I97" i="76"/>
  <c r="H85" i="80"/>
  <c r="I260" i="76"/>
  <c r="H204" i="80"/>
  <c r="I88" i="76"/>
  <c r="H80" i="80"/>
  <c r="I34" i="76"/>
  <c r="H33" i="80"/>
  <c r="H86" i="80"/>
  <c r="I99" i="76"/>
  <c r="H205" i="80"/>
  <c r="I261" i="76"/>
  <c r="H166" i="80"/>
  <c r="I217" i="76"/>
  <c r="H185" i="80"/>
  <c r="I236" i="76"/>
  <c r="I224" i="76"/>
  <c r="H173" i="80"/>
  <c r="I108" i="76"/>
  <c r="H95" i="80"/>
  <c r="I103" i="76"/>
  <c r="H90" i="80"/>
  <c r="I59" i="76"/>
  <c r="H58" i="80"/>
  <c r="I207" i="76"/>
  <c r="H156" i="80"/>
  <c r="I195" i="76"/>
  <c r="H144" i="80"/>
  <c r="I47" i="76"/>
  <c r="H46" i="80"/>
  <c r="I266" i="76"/>
  <c r="H210" i="80"/>
  <c r="H169" i="80"/>
  <c r="I220" i="76"/>
  <c r="I79" i="76"/>
  <c r="H71" i="80"/>
  <c r="I164" i="76"/>
  <c r="H125" i="80"/>
  <c r="H145" i="80"/>
  <c r="I196" i="76"/>
  <c r="I279" i="76"/>
  <c r="H223" i="80"/>
  <c r="H190" i="80"/>
  <c r="I241" i="76"/>
  <c r="I101" i="76"/>
  <c r="H88" i="80"/>
  <c r="I252" i="76"/>
  <c r="H201" i="80"/>
  <c r="H17" i="80"/>
  <c r="I17" i="76"/>
  <c r="I253" i="76"/>
  <c r="H202" i="80"/>
  <c r="I125" i="76"/>
  <c r="H105" i="80"/>
  <c r="H167" i="80"/>
  <c r="I218" i="76"/>
  <c r="I11" i="76"/>
  <c r="H11" i="80"/>
  <c r="I112" i="76"/>
  <c r="H97" i="80"/>
  <c r="I6" i="76"/>
  <c r="H6" i="80"/>
  <c r="I80" i="76"/>
  <c r="H72" i="80"/>
  <c r="I161" i="76"/>
  <c r="H122" i="80"/>
  <c r="I84" i="76"/>
  <c r="H76" i="80"/>
  <c r="H158" i="80"/>
  <c r="I209" i="76"/>
  <c r="H175" i="80"/>
  <c r="I226" i="76"/>
  <c r="I58" i="76"/>
  <c r="H57" i="80"/>
  <c r="I23" i="76"/>
  <c r="H23" i="80"/>
  <c r="I13" i="76"/>
  <c r="H13" i="80"/>
  <c r="H51" i="80"/>
  <c r="I52" i="76"/>
  <c r="I246" i="76"/>
  <c r="H195" i="80"/>
  <c r="H7" i="80"/>
  <c r="I7" i="76"/>
  <c r="I72" i="76"/>
  <c r="H66" i="80"/>
  <c r="I274" i="76"/>
  <c r="H218" i="80"/>
  <c r="H19" i="80"/>
  <c r="I19" i="76"/>
  <c r="I166" i="76"/>
  <c r="H127" i="80"/>
  <c r="I54" i="76"/>
  <c r="H53" i="80"/>
  <c r="I128" i="76"/>
  <c r="H108" i="80"/>
  <c r="I124" i="76"/>
  <c r="H104" i="80"/>
  <c r="H157" i="80"/>
  <c r="I208" i="76"/>
  <c r="I251" i="76"/>
  <c r="H200" i="80"/>
  <c r="H221" i="80"/>
  <c r="I277" i="76"/>
  <c r="H63" i="80"/>
  <c r="I69" i="76"/>
  <c r="I39" i="76"/>
  <c r="H38" i="80"/>
  <c r="I12" i="76"/>
  <c r="H12" i="80"/>
  <c r="H9" i="80"/>
  <c r="I9" i="76"/>
  <c r="I198" i="76"/>
  <c r="H147" i="80"/>
  <c r="H59" i="80"/>
  <c r="I62" i="76"/>
  <c r="I100" i="76"/>
  <c r="H87" i="80"/>
  <c r="I127" i="76"/>
  <c r="H107" i="80"/>
  <c r="H154" i="80"/>
  <c r="I205" i="76"/>
  <c r="I83" i="76"/>
  <c r="H75" i="80"/>
  <c r="I167" i="76"/>
  <c r="H128" i="80"/>
  <c r="I197" i="76"/>
  <c r="H146" i="80"/>
  <c r="H20" i="80"/>
  <c r="I20" i="76"/>
  <c r="I204" i="76"/>
  <c r="H153" i="80"/>
  <c r="I276" i="76"/>
  <c r="H220" i="80"/>
  <c r="I76" i="76"/>
  <c r="H69" i="80"/>
  <c r="H174" i="80"/>
  <c r="I225" i="76"/>
  <c r="J48" i="83" l="1"/>
  <c r="B47" i="83"/>
  <c r="N4" i="73"/>
  <c r="E6" i="73"/>
  <c r="M79" i="73"/>
  <c r="S80" i="73"/>
  <c r="D37" i="73"/>
  <c r="M101" i="73"/>
  <c r="D81" i="73"/>
  <c r="M37" i="73"/>
  <c r="M41" i="73" s="1"/>
  <c r="M80" i="73"/>
  <c r="M82" i="73"/>
  <c r="M38" i="73"/>
  <c r="M103" i="73"/>
  <c r="M102" i="73"/>
  <c r="M78" i="73"/>
  <c r="N6" i="73"/>
  <c r="D38" i="73"/>
  <c r="S81" i="73"/>
  <c r="E4" i="73"/>
  <c r="E7" i="73"/>
  <c r="D82" i="73"/>
  <c r="M100" i="73"/>
  <c r="S79" i="73"/>
  <c r="T6" i="73"/>
  <c r="S38" i="73"/>
  <c r="D103" i="73"/>
  <c r="D39" i="73"/>
  <c r="D104" i="73"/>
  <c r="D78" i="73"/>
  <c r="D83" i="73" s="1"/>
  <c r="D102" i="73"/>
  <c r="S40" i="73"/>
  <c r="S36" i="73"/>
  <c r="S41" i="73" s="1"/>
  <c r="D100" i="73"/>
  <c r="D40" i="73"/>
  <c r="D36" i="73"/>
  <c r="S82" i="73"/>
  <c r="N7" i="73"/>
  <c r="M104" i="73"/>
  <c r="D101" i="73"/>
  <c r="S78" i="73"/>
  <c r="M81" i="73"/>
  <c r="D80" i="73"/>
  <c r="B48" i="83" l="1"/>
  <c r="J51" i="83"/>
  <c r="M105" i="73"/>
  <c r="M83" i="73"/>
  <c r="D105" i="73"/>
  <c r="S83" i="73"/>
  <c r="D41" i="73"/>
  <c r="T45" i="73"/>
  <c r="V45" i="73" s="1"/>
  <c r="T91" i="73"/>
  <c r="V91" i="73" s="1"/>
  <c r="T92" i="73"/>
  <c r="V92" i="73" s="1"/>
  <c r="N46" i="73"/>
  <c r="P46" i="73" s="1"/>
  <c r="E44" i="73"/>
  <c r="G44" i="73" s="1"/>
  <c r="E46" i="73"/>
  <c r="G46" i="73" s="1"/>
  <c r="E47" i="73"/>
  <c r="G47" i="73" s="1"/>
  <c r="N108" i="73"/>
  <c r="P108" i="73" s="1"/>
  <c r="E89" i="73"/>
  <c r="G89" i="73" s="1"/>
  <c r="N93" i="73"/>
  <c r="P93" i="73" s="1"/>
  <c r="E110" i="73"/>
  <c r="G110" i="73" s="1"/>
  <c r="N113" i="73"/>
  <c r="P113" i="73" s="1"/>
  <c r="T93" i="73"/>
  <c r="V93" i="73" s="1"/>
  <c r="E50" i="73"/>
  <c r="G50" i="73" s="1"/>
  <c r="T50" i="73"/>
  <c r="V50" i="73" s="1"/>
  <c r="E88" i="73"/>
  <c r="G88" i="73" s="1"/>
  <c r="E93" i="73"/>
  <c r="G93" i="73" s="1"/>
  <c r="T90" i="73"/>
  <c r="V90" i="73" s="1"/>
  <c r="N52" i="73"/>
  <c r="P52" i="73" s="1"/>
  <c r="N86" i="73"/>
  <c r="P86" i="73" s="1"/>
  <c r="N47" i="73"/>
  <c r="P47" i="73" s="1"/>
  <c r="N92" i="73"/>
  <c r="P92" i="73" s="1"/>
  <c r="E111" i="73"/>
  <c r="G111" i="73" s="1"/>
  <c r="E91" i="73"/>
  <c r="G91" i="73" s="1"/>
  <c r="E112" i="73"/>
  <c r="G112" i="73" s="1"/>
  <c r="T89" i="73"/>
  <c r="V89" i="73" s="1"/>
  <c r="N91" i="73"/>
  <c r="P91" i="73" s="1"/>
  <c r="E49" i="73"/>
  <c r="G49" i="73" s="1"/>
  <c r="T47" i="73"/>
  <c r="V47" i="73" s="1"/>
  <c r="E92" i="73"/>
  <c r="G92" i="73" s="1"/>
  <c r="T44" i="73"/>
  <c r="V44" i="73" s="1"/>
  <c r="N94" i="73"/>
  <c r="P94" i="73" s="1"/>
  <c r="T87" i="73"/>
  <c r="V87" i="73" s="1"/>
  <c r="E45" i="73"/>
  <c r="G45" i="73" s="1"/>
  <c r="T86" i="73"/>
  <c r="V86" i="73" s="1"/>
  <c r="T46" i="73"/>
  <c r="V46" i="73" s="1"/>
  <c r="T48" i="73"/>
  <c r="V48" i="73" s="1"/>
  <c r="T49" i="73"/>
  <c r="V49" i="73" s="1"/>
  <c r="N88" i="73"/>
  <c r="P88" i="73" s="1"/>
  <c r="E51" i="73"/>
  <c r="G51" i="73" s="1"/>
  <c r="E108" i="73"/>
  <c r="G108" i="73" s="1"/>
  <c r="E52" i="73"/>
  <c r="G52" i="73" s="1"/>
  <c r="T94" i="73"/>
  <c r="V94" i="73" s="1"/>
  <c r="T88" i="73"/>
  <c r="V88" i="73" s="1"/>
  <c r="N87" i="73"/>
  <c r="P87" i="73" s="1"/>
  <c r="N110" i="73"/>
  <c r="P110" i="73" s="1"/>
  <c r="N90" i="73"/>
  <c r="P90" i="73" s="1"/>
  <c r="N111" i="73"/>
  <c r="P111" i="73" s="1"/>
  <c r="N89" i="73"/>
  <c r="P89" i="73" s="1"/>
  <c r="N109" i="73"/>
  <c r="P109" i="73" s="1"/>
  <c r="E109" i="73"/>
  <c r="G109" i="73" s="1"/>
  <c r="E90" i="73"/>
  <c r="G90" i="73" s="1"/>
  <c r="E113" i="73"/>
  <c r="G113" i="73" s="1"/>
  <c r="E94" i="73"/>
  <c r="G94" i="73" s="1"/>
  <c r="E87" i="73"/>
  <c r="G87" i="73" s="1"/>
  <c r="E86" i="73"/>
  <c r="G86" i="73" s="1"/>
  <c r="N112" i="73"/>
  <c r="P112" i="73" s="1"/>
  <c r="J52" i="83" l="1"/>
  <c r="B52" i="83" s="1"/>
  <c r="J55" i="83"/>
  <c r="B51" i="83"/>
  <c r="B55" i="83" l="1"/>
  <c r="J56" i="83"/>
  <c r="S102" i="73"/>
  <c r="T110" i="73"/>
  <c r="V110" i="73" s="1"/>
  <c r="T111" i="73"/>
  <c r="V111" i="73" s="1"/>
  <c r="T113" i="73"/>
  <c r="V113" i="73" s="1"/>
  <c r="T109" i="73"/>
  <c r="V109" i="73" s="1"/>
  <c r="T108" i="73"/>
  <c r="V108" i="73" s="1"/>
  <c r="T112" i="73"/>
  <c r="V112" i="73" s="1"/>
  <c r="J57" i="83" l="1"/>
  <c r="B56" i="83"/>
  <c r="T7" i="73"/>
  <c r="S103" i="73"/>
  <c r="S104" i="73"/>
  <c r="S100" i="73"/>
  <c r="S101" i="73"/>
  <c r="B57" i="83" l="1"/>
  <c r="J58" i="83"/>
  <c r="S105" i="73"/>
  <c r="B58" i="83" l="1"/>
  <c r="J59" i="83"/>
  <c r="B59" i="83" l="1"/>
  <c r="J60" i="83"/>
  <c r="B60" i="83" l="1"/>
  <c r="J61" i="83"/>
  <c r="B61" i="83" l="1"/>
  <c r="J62" i="83"/>
  <c r="B62" i="83" s="1"/>
  <c r="T51" i="73" s="1"/>
  <c r="V51" i="73" s="1"/>
</calcChain>
</file>

<file path=xl/sharedStrings.xml><?xml version="1.0" encoding="utf-8"?>
<sst xmlns="http://schemas.openxmlformats.org/spreadsheetml/2006/main" count="3746" uniqueCount="737">
  <si>
    <t>Total Students</t>
  </si>
  <si>
    <t>Total Undergraduate Students</t>
  </si>
  <si>
    <t>Full-time First-time</t>
  </si>
  <si>
    <t>Full-time Continuing &amp; Returning</t>
  </si>
  <si>
    <t>Part-time Undergraduates</t>
  </si>
  <si>
    <t>Total Graduate Students</t>
  </si>
  <si>
    <t>Full-time New Graduates</t>
  </si>
  <si>
    <t>Part-time Graduates</t>
  </si>
  <si>
    <t>International</t>
  </si>
  <si>
    <t>U.S. Non New York</t>
  </si>
  <si>
    <t>Four Year</t>
  </si>
  <si>
    <t>White Non-Hispanic</t>
  </si>
  <si>
    <t>All Minorities</t>
  </si>
  <si>
    <t>Non-Resident Alien</t>
  </si>
  <si>
    <t>Unknown</t>
  </si>
  <si>
    <t>The Academic Experience</t>
  </si>
  <si>
    <t>Academic Skill Development</t>
  </si>
  <si>
    <t>Classroom Experience</t>
  </si>
  <si>
    <t>Life Skill Development</t>
  </si>
  <si>
    <t>Overall Satisfaction</t>
  </si>
  <si>
    <t>Academic Services and Facilities</t>
  </si>
  <si>
    <t>Academic Facilities &amp; Grounds</t>
  </si>
  <si>
    <t>Academic Advising</t>
  </si>
  <si>
    <t>Institutional Environment &amp; Services</t>
  </si>
  <si>
    <t>Campus Security</t>
  </si>
  <si>
    <t>Sector</t>
  </si>
  <si>
    <t>Applicants</t>
  </si>
  <si>
    <t>Acceptances</t>
  </si>
  <si>
    <t>Acceptance Rate</t>
  </si>
  <si>
    <t>Enrolled</t>
  </si>
  <si>
    <t>Enrollment Yield</t>
  </si>
  <si>
    <t xml:space="preserve">New York State </t>
  </si>
  <si>
    <t>Masters Programs</t>
  </si>
  <si>
    <t>Graduate Certificates</t>
  </si>
  <si>
    <t>Doctoral Programs</t>
  </si>
  <si>
    <t>First-Professional</t>
  </si>
  <si>
    <t>Non-Degree Seeking</t>
  </si>
  <si>
    <t xml:space="preserve"> </t>
  </si>
  <si>
    <t>2008-09</t>
  </si>
  <si>
    <t>5-Year Percent Change</t>
  </si>
  <si>
    <t>Percent</t>
  </si>
  <si>
    <t>Faculty Headcount</t>
  </si>
  <si>
    <t>Faculty Total</t>
  </si>
  <si>
    <t xml:space="preserve">Campus </t>
  </si>
  <si>
    <t>First-time (Native)</t>
  </si>
  <si>
    <t>Transfers In</t>
  </si>
  <si>
    <t>Plan Fall 2015</t>
  </si>
  <si>
    <t>1-Year Percent Change</t>
  </si>
  <si>
    <t>Staff Headcount</t>
  </si>
  <si>
    <t>Fall 2009</t>
  </si>
  <si>
    <t>Fall 2010</t>
  </si>
  <si>
    <t>Fall 2011</t>
  </si>
  <si>
    <t>Fall 2012</t>
  </si>
  <si>
    <t>Fall 2013</t>
  </si>
  <si>
    <t>Plan Fall 2020</t>
  </si>
  <si>
    <t>Staff Total</t>
  </si>
  <si>
    <t>Black Non-Hispanic</t>
  </si>
  <si>
    <t>Hispanic</t>
  </si>
  <si>
    <t>Asian/Pacific Islander</t>
  </si>
  <si>
    <t>Native American/Alaskan</t>
  </si>
  <si>
    <t>Two or More Races</t>
  </si>
  <si>
    <t>Male</t>
  </si>
  <si>
    <t>Female</t>
  </si>
  <si>
    <t>Student Enrollment</t>
  </si>
  <si>
    <t>2009-10</t>
  </si>
  <si>
    <t>2010-11</t>
  </si>
  <si>
    <t>2011-12</t>
  </si>
  <si>
    <t>2012-13</t>
  </si>
  <si>
    <t>2013-14</t>
  </si>
  <si>
    <t>Entering Fall Cohort</t>
  </si>
  <si>
    <t>Two Year</t>
  </si>
  <si>
    <t>Three Year</t>
  </si>
  <si>
    <t>One Year</t>
  </si>
  <si>
    <t>FY 2009</t>
  </si>
  <si>
    <t>FY 2010</t>
  </si>
  <si>
    <t>FY 2011</t>
  </si>
  <si>
    <t>FY 2012</t>
  </si>
  <si>
    <t>FY 2013</t>
  </si>
  <si>
    <t>First-Time Undergraduate Applicants, Acceptances, and Enrollment Yield</t>
  </si>
  <si>
    <t>Group 1</t>
  </si>
  <si>
    <t>Group 2</t>
  </si>
  <si>
    <t>Group 3</t>
  </si>
  <si>
    <t>Group 5</t>
  </si>
  <si>
    <t>Faculty Trends, with Diversity and Student Faculty Ratios</t>
  </si>
  <si>
    <t>Total Degrees/Awards</t>
  </si>
  <si>
    <t>Associate Degrees</t>
  </si>
  <si>
    <t>Baccalaureate Degrees</t>
  </si>
  <si>
    <t>Masters Degrees</t>
  </si>
  <si>
    <t>Doctoral Degrees</t>
  </si>
  <si>
    <t>Degrees/Awards Granted</t>
  </si>
  <si>
    <t>UG Certificates and Diplomas</t>
  </si>
  <si>
    <t>Cohort Entering Fall</t>
  </si>
  <si>
    <t>Alumni on Record</t>
  </si>
  <si>
    <t>Contents</t>
  </si>
  <si>
    <t>• Faculty Trends</t>
  </si>
  <si>
    <t>• Staff Trends</t>
  </si>
  <si>
    <t>• Applicant Acceptance</t>
  </si>
  <si>
    <t>• Geographic Diversity 5 Year</t>
  </si>
  <si>
    <t>• SOS Results Table 1. &amp; 2.</t>
  </si>
  <si>
    <t>• Research Expenditures</t>
  </si>
  <si>
    <t>• FULL Enrollment Beyond Fall</t>
  </si>
  <si>
    <t>• Degrees_Awards Granted</t>
  </si>
  <si>
    <t>• SUNY Success Rates</t>
  </si>
  <si>
    <t>• Financial Aid_Literacy</t>
  </si>
  <si>
    <t>• Alumni_Philanthropy</t>
  </si>
  <si>
    <t>Choose Campus</t>
  </si>
  <si>
    <t>Not Applicable</t>
  </si>
  <si>
    <t>Other Research/Doctoral Institutions</t>
  </si>
  <si>
    <t>2</t>
  </si>
  <si>
    <t>Doctoral Degree Granting Institutions</t>
  </si>
  <si>
    <t>1</t>
  </si>
  <si>
    <t>State Operated</t>
  </si>
  <si>
    <t>4-Year Campus</t>
  </si>
  <si>
    <t>4</t>
  </si>
  <si>
    <t>3</t>
  </si>
  <si>
    <t>Community Colleges</t>
  </si>
  <si>
    <t>0</t>
  </si>
  <si>
    <t>2-Year Campus</t>
  </si>
  <si>
    <t>Orange County</t>
  </si>
  <si>
    <t>Monroe</t>
  </si>
  <si>
    <t>Finger Lakes</t>
  </si>
  <si>
    <t>Mohawk Valley</t>
  </si>
  <si>
    <t>Technology Colleges</t>
  </si>
  <si>
    <t>Morrisville</t>
  </si>
  <si>
    <t>Delhi</t>
  </si>
  <si>
    <t>Alfred State</t>
  </si>
  <si>
    <t>North Country</t>
  </si>
  <si>
    <t>Comprehensive Colleges</t>
  </si>
  <si>
    <t>Potsdam</t>
  </si>
  <si>
    <t>Clinton</t>
  </si>
  <si>
    <t>Plattsburgh</t>
  </si>
  <si>
    <t>Onondaga</t>
  </si>
  <si>
    <t>Envir Sci &amp; Forestry</t>
  </si>
  <si>
    <t>Erie</t>
  </si>
  <si>
    <t>Cayuga County</t>
  </si>
  <si>
    <t>Jefferson</t>
  </si>
  <si>
    <t>Empire State</t>
  </si>
  <si>
    <t>Research University Centers</t>
  </si>
  <si>
    <t>Buffalo Univ</t>
  </si>
  <si>
    <t>Westchester</t>
  </si>
  <si>
    <t>Purchase</t>
  </si>
  <si>
    <t>Stony Brook</t>
  </si>
  <si>
    <t>Nassau</t>
  </si>
  <si>
    <t>Farmingdale</t>
  </si>
  <si>
    <t>Brockport</t>
  </si>
  <si>
    <t>Fashion Institute</t>
  </si>
  <si>
    <t>Suffolk County</t>
  </si>
  <si>
    <t>Albany</t>
  </si>
  <si>
    <t>Ulster County</t>
  </si>
  <si>
    <t>Tompkins Cortland</t>
  </si>
  <si>
    <t>Sullivan County</t>
  </si>
  <si>
    <t>Schenectady County</t>
  </si>
  <si>
    <t>Rockland</t>
  </si>
  <si>
    <t>Niagara County</t>
  </si>
  <si>
    <t>Jamestown</t>
  </si>
  <si>
    <t>Hudson Valley</t>
  </si>
  <si>
    <t>Herkimer County</t>
  </si>
  <si>
    <t>Genesee</t>
  </si>
  <si>
    <t>Fulton-Montgomery</t>
  </si>
  <si>
    <t>Dutchess</t>
  </si>
  <si>
    <t>Corning</t>
  </si>
  <si>
    <t>Columbia-Greene</t>
  </si>
  <si>
    <t>Broome</t>
  </si>
  <si>
    <t>Adirondack</t>
  </si>
  <si>
    <t>Cobleskill</t>
  </si>
  <si>
    <t>Canton</t>
  </si>
  <si>
    <t>Optometry</t>
  </si>
  <si>
    <t>Maritime</t>
  </si>
  <si>
    <t>Upstate Medical</t>
  </si>
  <si>
    <t>Downstate Medical</t>
  </si>
  <si>
    <t>Oswego</t>
  </si>
  <si>
    <t>Oneonta</t>
  </si>
  <si>
    <t>Old Westbury</t>
  </si>
  <si>
    <t>New Paltz</t>
  </si>
  <si>
    <t>Geneseo</t>
  </si>
  <si>
    <t>Fredonia</t>
  </si>
  <si>
    <t>Cortland</t>
  </si>
  <si>
    <t>Buffalo State</t>
  </si>
  <si>
    <t>Binghamton</t>
  </si>
  <si>
    <t>SUB_SECTOR_DSC</t>
  </si>
  <si>
    <t>SUB_SECTOR_CD</t>
  </si>
  <si>
    <t>SECTOR_DSC</t>
  </si>
  <si>
    <t>SECTOR_CD</t>
  </si>
  <si>
    <t>STATE_OR_COMMUNITY_COL_DSC</t>
  </si>
  <si>
    <t>TWO_FOUR_YEAR_CAMPUS_DSC</t>
  </si>
  <si>
    <t>PRIMARY_CAMPUS_NAME_SHORT</t>
  </si>
  <si>
    <t>CAMPUS_ID</t>
  </si>
  <si>
    <t>n/a</t>
  </si>
  <si>
    <t>Audrey</t>
  </si>
  <si>
    <t>Business and Industry</t>
  </si>
  <si>
    <t>Research Expenditures</t>
  </si>
  <si>
    <t>Campus List</t>
  </si>
  <si>
    <t>State Operated or Community College</t>
  </si>
  <si>
    <t>Two or Four Year Campus</t>
  </si>
  <si>
    <t>Sub Sector</t>
  </si>
  <si>
    <t>Craig</t>
  </si>
  <si>
    <t>Audrey, Peter (FTE)</t>
  </si>
  <si>
    <t>Teresa, Peter</t>
  </si>
  <si>
    <t>Peter</t>
  </si>
  <si>
    <t>Jinrong</t>
  </si>
  <si>
    <t>Rebecca (Patti)</t>
  </si>
  <si>
    <t>Mean High School Average</t>
  </si>
  <si>
    <t>First-Time, Full-Time Student Selectivity, SAT and HS Average</t>
  </si>
  <si>
    <t>% Full-time</t>
  </si>
  <si>
    <t>Rebecca (Jen L, Tracy S)</t>
  </si>
  <si>
    <t>IR / SPA assignment</t>
  </si>
  <si>
    <t>Philanthropy</t>
  </si>
  <si>
    <t>Fund Balance as Percent of Budget</t>
  </si>
  <si>
    <t>Salaries and Benefits as Percent of Budget</t>
  </si>
  <si>
    <t>Net Cost per AAFTE</t>
  </si>
  <si>
    <t xml:space="preserve">NYS Resident Tuition Rate </t>
  </si>
  <si>
    <t>Sponsor Dollar Contribution per AAFTE</t>
  </si>
  <si>
    <t>Tuition Share Percentage</t>
  </si>
  <si>
    <t>State Share Percentage</t>
  </si>
  <si>
    <t>All Funds Budget (millions)</t>
  </si>
  <si>
    <t>Budget and Finance</t>
  </si>
  <si>
    <t>Total Degrees Awarded</t>
  </si>
  <si>
    <t>Student to Faculty Ratio (FTE)</t>
  </si>
  <si>
    <t>Percent of Faculty that are Full-Time</t>
  </si>
  <si>
    <t>Total Faculty Headcounts</t>
  </si>
  <si>
    <t>Total Staff Headcounts</t>
  </si>
  <si>
    <t>Percent of Total Headcount Full-Time</t>
  </si>
  <si>
    <t>Student AAFTE</t>
  </si>
  <si>
    <t>Total Student Headcount</t>
  </si>
  <si>
    <t>Fall 2015</t>
  </si>
  <si>
    <t>Line</t>
  </si>
  <si>
    <t>Fall 2020</t>
  </si>
  <si>
    <t>Percent Staff Headcount Minority</t>
  </si>
  <si>
    <t>Percent Faculty Headcount Minority</t>
  </si>
  <si>
    <t xml:space="preserve">Percent New York State </t>
  </si>
  <si>
    <t>Percent International</t>
  </si>
  <si>
    <t>Plan Fall 2018</t>
  </si>
  <si>
    <t>• For Questions Refer to:</t>
  </si>
  <si>
    <t>Z Score</t>
  </si>
  <si>
    <t>Institution Score Rating</t>
  </si>
  <si>
    <t>Sector Score Rating</t>
  </si>
  <si>
    <t>FY 2014</t>
  </si>
  <si>
    <t>Access</t>
  </si>
  <si>
    <t>Completion</t>
  </si>
  <si>
    <t>Success</t>
  </si>
  <si>
    <t>Inquiry</t>
  </si>
  <si>
    <t>Engagement</t>
  </si>
  <si>
    <t>Financial Literacy</t>
  </si>
  <si>
    <t>SUNY Smart Track</t>
  </si>
  <si>
    <t>Table of Contents</t>
  </si>
  <si>
    <t>FULL Enrollment Beyond Fall</t>
  </si>
  <si>
    <t>Applicant Acceptance</t>
  </si>
  <si>
    <t>Faculty Trends</t>
  </si>
  <si>
    <t>Staff Trends</t>
  </si>
  <si>
    <t>Geographic Diversity 5 Year</t>
  </si>
  <si>
    <t>• Enrollment 5YR</t>
  </si>
  <si>
    <t>Enrollment 5YR</t>
  </si>
  <si>
    <t>IR_SORT_ID</t>
  </si>
  <si>
    <t>data id</t>
  </si>
  <si>
    <t>Table No</t>
  </si>
  <si>
    <t>Funds Raised ($mil.)</t>
  </si>
  <si>
    <t>Table</t>
  </si>
  <si>
    <t>Fall 2018</t>
  </si>
  <si>
    <t>David L. and Rebecca
(data organization and templates)</t>
  </si>
  <si>
    <t>IR table no</t>
  </si>
  <si>
    <t>Campus Notes:</t>
  </si>
  <si>
    <t>Fall 2014</t>
  </si>
  <si>
    <t>as of
Fall 2009</t>
  </si>
  <si>
    <t>as of
Fall 2010</t>
  </si>
  <si>
    <t>as of
Fall 2011</t>
  </si>
  <si>
    <t>as of
Fall 2012</t>
  </si>
  <si>
    <t>as of
Fall 2013</t>
  </si>
  <si>
    <t>as of
Fall 2014</t>
  </si>
  <si>
    <t>• Student Diversity 5 Year</t>
  </si>
  <si>
    <t>Student Diversity 5 Year</t>
  </si>
  <si>
    <t>Associate Degrees Awarded</t>
  </si>
  <si>
    <t>campus</t>
  </si>
  <si>
    <t>Campus offset</t>
  </si>
  <si>
    <t>sector offset</t>
  </si>
  <si>
    <t>state offset</t>
  </si>
  <si>
    <t>Alumni</t>
  </si>
  <si>
    <t>Award Letter</t>
  </si>
  <si>
    <t>Financial Literacy Website</t>
  </si>
  <si>
    <t>EOP/Risk Admission</t>
  </si>
  <si>
    <t>Joint Program</t>
  </si>
  <si>
    <t>Undergraduate Transition</t>
  </si>
  <si>
    <t>Non-Business and Industry</t>
  </si>
  <si>
    <t>Rebecca (Mary), Teresa, Peter</t>
  </si>
  <si>
    <t>Graduate Degrees Awarded</t>
  </si>
  <si>
    <t>Sector % Full-time</t>
  </si>
  <si>
    <t>Students Receiving Pell</t>
  </si>
  <si>
    <t>Full-Time</t>
  </si>
  <si>
    <t>Entering Fall</t>
  </si>
  <si>
    <t>Trends in Graduation of Full-Time Undergraduate Transfer Students</t>
  </si>
  <si>
    <t>Student Engagement (i.e. early alert)</t>
  </si>
  <si>
    <t>Retention</t>
  </si>
  <si>
    <t>Transfer Grad Rates</t>
  </si>
  <si>
    <t>Sector Alumni Giving Rate</t>
  </si>
  <si>
    <t>Part-Time</t>
  </si>
  <si>
    <t>Federal</t>
  </si>
  <si>
    <t>Federal Flow Through</t>
  </si>
  <si>
    <t>Nonfederal</t>
  </si>
  <si>
    <t>Invention Disclosures</t>
  </si>
  <si>
    <t>U.S. Patent Applications Filed</t>
  </si>
  <si>
    <t>U.S. Patents Issued</t>
  </si>
  <si>
    <t>License and Option Agreements Executed</t>
  </si>
  <si>
    <t>Number of Alumni Donors</t>
  </si>
  <si>
    <t>Academic Integrity</t>
  </si>
  <si>
    <t>Academic Assigments</t>
  </si>
  <si>
    <t>Information Technology</t>
  </si>
  <si>
    <t>Course Availability &amp; Quality</t>
  </si>
  <si>
    <t>Social Environment</t>
  </si>
  <si>
    <t>Financing College and other Difficulties</t>
  </si>
  <si>
    <t>Personal Integration &amp; Connection</t>
  </si>
  <si>
    <t>Health &amp; Wellness Services</t>
  </si>
  <si>
    <t>Student Harmony/Campus Diversity</t>
  </si>
  <si>
    <t>Student Life</t>
  </si>
  <si>
    <t>Post College Advising &amp; Career Planning</t>
  </si>
  <si>
    <t>Ancillary Campus Services &amp; Facilities</t>
  </si>
  <si>
    <t>changed name</t>
  </si>
  <si>
    <t>Initial Cohort</t>
  </si>
  <si>
    <t>• Retention</t>
  </si>
  <si>
    <t>• Grad Rates First-Time</t>
  </si>
  <si>
    <t>• Grad Rates Transfer</t>
  </si>
  <si>
    <t>• Time and Credits to Degree</t>
  </si>
  <si>
    <t>First-Time Grad Rates</t>
  </si>
  <si>
    <t>assoc offset</t>
  </si>
  <si>
    <t>ba offset</t>
  </si>
  <si>
    <t xml:space="preserve">Federal R&amp;D </t>
  </si>
  <si>
    <t>Industry R&amp;D</t>
  </si>
  <si>
    <t>State/Local Govt. R&amp;D</t>
  </si>
  <si>
    <t>% Undergraduate</t>
  </si>
  <si>
    <t>-</t>
  </si>
  <si>
    <t>Full-time Undergraduates - Total</t>
  </si>
  <si>
    <t>Full-time Graduates - Total</t>
  </si>
  <si>
    <t>College in the High Schools (state-ops)</t>
  </si>
  <si>
    <t>Graduate Students by Level</t>
  </si>
  <si>
    <t>Student Headcount Enrollment</t>
  </si>
  <si>
    <t>Full-time Transfers</t>
  </si>
  <si>
    <r>
      <t>Selectivity Group Profile Counts</t>
    </r>
    <r>
      <rPr>
        <b/>
        <vertAlign val="superscript"/>
        <sz val="10"/>
        <rFont val="Calibri"/>
        <family val="2"/>
        <scheme val="minor"/>
      </rPr>
      <t>1</t>
    </r>
  </si>
  <si>
    <r>
      <t xml:space="preserve">Selectivity Group Profile Percentages </t>
    </r>
    <r>
      <rPr>
        <b/>
        <vertAlign val="superscript"/>
        <sz val="10"/>
        <rFont val="Calibri"/>
        <family val="2"/>
        <scheme val="minor"/>
      </rPr>
      <t>1</t>
    </r>
  </si>
  <si>
    <r>
      <t>SAT Score and  HS Average (First-time/Full-time)</t>
    </r>
    <r>
      <rPr>
        <b/>
        <vertAlign val="superscript"/>
        <sz val="10"/>
        <rFont val="Calibri"/>
        <family val="2"/>
        <scheme val="minor"/>
      </rPr>
      <t>3</t>
    </r>
  </si>
  <si>
    <r>
      <rPr>
        <vertAlign val="superscript"/>
        <sz val="10"/>
        <rFont val="Calibri"/>
        <family val="2"/>
        <scheme val="minor"/>
      </rPr>
      <t>3</t>
    </r>
    <r>
      <rPr>
        <sz val="10"/>
        <rFont val="Calibri"/>
        <family val="2"/>
        <scheme val="minor"/>
      </rPr>
      <t xml:space="preserve"> Mean SAT score and High School Average are for first-time degree-seeking baccalaureate students regularly admitted to the institution.</t>
    </r>
  </si>
  <si>
    <r>
      <rPr>
        <vertAlign val="superscript"/>
        <sz val="10"/>
        <rFont val="Calibri"/>
        <family val="2"/>
        <scheme val="minor"/>
      </rPr>
      <t>2</t>
    </r>
    <r>
      <rPr>
        <sz val="10"/>
        <rFont val="Calibri"/>
        <family val="2"/>
        <scheme val="minor"/>
      </rPr>
      <t xml:space="preserve"> Indicates that complete SAT and HS Average information is not available.</t>
    </r>
  </si>
  <si>
    <t>Mean Combined Math/Verbal SAT Score</t>
  </si>
  <si>
    <t>Total First-time, Full-time in Bacc Cohort</t>
  </si>
  <si>
    <t>Note:  New York State includes unknowns</t>
  </si>
  <si>
    <r>
      <t xml:space="preserve">Trends in First-Time Undergraduate </t>
    </r>
    <r>
      <rPr>
        <b/>
        <u/>
        <sz val="12"/>
        <rFont val="Calibri"/>
        <family val="2"/>
        <scheme val="minor"/>
      </rPr>
      <t>Applicants, Acceptances, and Enrollment Yield with Selectivity Data</t>
    </r>
  </si>
  <si>
    <t>Campus % Full-time</t>
  </si>
  <si>
    <t>Faculty and Student FTEs</t>
  </si>
  <si>
    <r>
      <rPr>
        <vertAlign val="superscript"/>
        <sz val="10"/>
        <rFont val="Calibri"/>
        <family val="2"/>
        <scheme val="minor"/>
      </rPr>
      <t>1</t>
    </r>
    <r>
      <rPr>
        <sz val="10"/>
        <rFont val="Calibri"/>
        <family val="2"/>
        <scheme val="minor"/>
      </rPr>
      <t xml:space="preserve"> Underrepresented Minorities includes Black, Hispanic, Native American/Alaskan, and Two or More Races.</t>
    </r>
  </si>
  <si>
    <t>Campus Student/Faculty FTE Ratio</t>
  </si>
  <si>
    <t>Sector Student/Faculty FTE Ratio</t>
  </si>
  <si>
    <r>
      <t xml:space="preserve">(Non-instructional) </t>
    </r>
    <r>
      <rPr>
        <b/>
        <u/>
        <sz val="12"/>
        <rFont val="Calibri"/>
        <family val="2"/>
        <scheme val="minor"/>
      </rPr>
      <t>Staff Trends, with Diversity</t>
    </r>
  </si>
  <si>
    <t>Full-Time Faculty Total</t>
  </si>
  <si>
    <t>Full-Time Staff Total</t>
  </si>
  <si>
    <r>
      <t xml:space="preserve">Trends in </t>
    </r>
    <r>
      <rPr>
        <b/>
        <u/>
        <sz val="12"/>
        <rFont val="Calibri"/>
        <family val="2"/>
        <scheme val="minor"/>
      </rPr>
      <t>Degrees/Awards Granted</t>
    </r>
    <r>
      <rPr>
        <b/>
        <sz val="12"/>
        <rFont val="Calibri"/>
        <family val="2"/>
        <scheme val="minor"/>
      </rPr>
      <t xml:space="preserve"> by Academic Level</t>
    </r>
  </si>
  <si>
    <r>
      <t>Associates - Time to Degree Completion in Years</t>
    </r>
    <r>
      <rPr>
        <b/>
        <vertAlign val="superscript"/>
        <sz val="10"/>
        <rFont val="Calibri"/>
        <family val="2"/>
        <scheme val="minor"/>
      </rPr>
      <t>1</t>
    </r>
  </si>
  <si>
    <r>
      <t>Associates - Average Credits Earned at Graduation</t>
    </r>
    <r>
      <rPr>
        <b/>
        <vertAlign val="superscript"/>
        <sz val="10"/>
        <rFont val="Calibri"/>
        <family val="2"/>
        <scheme val="minor"/>
      </rPr>
      <t>1</t>
    </r>
  </si>
  <si>
    <r>
      <t>Baccalaureate - Time to Degree Completion in Years</t>
    </r>
    <r>
      <rPr>
        <b/>
        <vertAlign val="superscript"/>
        <sz val="10"/>
        <rFont val="Calibri"/>
        <family val="2"/>
        <scheme val="minor"/>
      </rPr>
      <t>1</t>
    </r>
  </si>
  <si>
    <r>
      <t>Baccalaureate - Average Credits Earned at Graduation</t>
    </r>
    <r>
      <rPr>
        <b/>
        <vertAlign val="superscript"/>
        <sz val="10"/>
        <rFont val="Calibri"/>
        <family val="2"/>
        <scheme val="minor"/>
      </rPr>
      <t>1</t>
    </r>
  </si>
  <si>
    <r>
      <t xml:space="preserve">First-Time and Transfer Student </t>
    </r>
    <r>
      <rPr>
        <b/>
        <u/>
        <sz val="12"/>
        <rFont val="Calibri"/>
        <family val="2"/>
        <scheme val="minor"/>
      </rPr>
      <t>Time to Degree</t>
    </r>
    <r>
      <rPr>
        <b/>
        <sz val="12"/>
        <rFont val="Calibri"/>
        <family val="2"/>
        <scheme val="minor"/>
      </rPr>
      <t xml:space="preserve"> (in years)
and </t>
    </r>
    <r>
      <rPr>
        <b/>
        <u/>
        <sz val="12"/>
        <rFont val="Calibri"/>
        <family val="2"/>
        <scheme val="minor"/>
      </rPr>
      <t>Average Number of Credits at Graduation</t>
    </r>
  </si>
  <si>
    <t>Six-Year Graduation Rate</t>
  </si>
  <si>
    <t>Full-time Other</t>
  </si>
  <si>
    <t>Full-time Concurrently Enrolled in HS</t>
  </si>
  <si>
    <t>Group 4</t>
  </si>
  <si>
    <t>Assoc Offset</t>
  </si>
  <si>
    <t>BA Offset</t>
  </si>
  <si>
    <r>
      <t xml:space="preserve">1 </t>
    </r>
    <r>
      <rPr>
        <sz val="10"/>
        <rFont val="Calibri"/>
        <family val="2"/>
        <scheme val="minor"/>
      </rPr>
      <t>SUNY Research Foundation Expenditure Profile</t>
    </r>
  </si>
  <si>
    <r>
      <t>2</t>
    </r>
    <r>
      <rPr>
        <sz val="10"/>
        <rFont val="Calibri"/>
        <family val="2"/>
        <scheme val="minor"/>
      </rPr>
      <t xml:space="preserve"> National Science Foundation, Survey of Research and Development Expenditures at Universities and Colleges</t>
    </r>
  </si>
  <si>
    <t>Campus Alumni Giving Rate</t>
  </si>
  <si>
    <t xml:space="preserve">EOP/Risk Admission </t>
  </si>
  <si>
    <t>Default Rate - 2YR</t>
  </si>
  <si>
    <t>Default Rate - 3YR</t>
  </si>
  <si>
    <t>16.209.public 4 year</t>
  </si>
  <si>
    <t>16.215.public 4 year</t>
  </si>
  <si>
    <t>Institution R&amp;D</t>
  </si>
  <si>
    <t>Nonprofit R&amp;D</t>
  </si>
  <si>
    <t>All Other R&amp;D</t>
  </si>
  <si>
    <t>Total R&amp;D ($mil.)</t>
  </si>
  <si>
    <t>Unduplicated Academic Year Headcount</t>
  </si>
  <si>
    <t>National offset</t>
  </si>
  <si>
    <t>Plan            2018-19</t>
  </si>
  <si>
    <t>Plan            2020-21</t>
  </si>
  <si>
    <t>% Deviation Between Planned and Official</t>
  </si>
  <si>
    <t>Campus % All Minorities</t>
  </si>
  <si>
    <t>Sector % All Minorities</t>
  </si>
  <si>
    <t>Campus % Underrepresented Minorities</t>
  </si>
  <si>
    <t>Sector % Underrepresented Minorities</t>
  </si>
  <si>
    <t>Campus % Male</t>
  </si>
  <si>
    <t>Campus % Female</t>
  </si>
  <si>
    <t>Sector % Male</t>
  </si>
  <si>
    <t>Sector % Female</t>
  </si>
  <si>
    <t>Campus % Students Receiving Pell</t>
  </si>
  <si>
    <t>Sector % Students Receiving Pell</t>
  </si>
  <si>
    <t>Race/Ethnicity</t>
  </si>
  <si>
    <t>Gender</t>
  </si>
  <si>
    <t>Pell Recipients</t>
  </si>
  <si>
    <r>
      <t xml:space="preserve">Trends in </t>
    </r>
    <r>
      <rPr>
        <b/>
        <u/>
        <sz val="12"/>
        <rFont val="Calibri"/>
        <family val="2"/>
        <scheme val="minor"/>
      </rPr>
      <t>Student Diversity - Race/Ethnicity, Gender, and Pell</t>
    </r>
  </si>
  <si>
    <r>
      <t xml:space="preserve">Estimated Faculty FTE  </t>
    </r>
    <r>
      <rPr>
        <b/>
        <i/>
        <sz val="10"/>
        <rFont val="Calibri"/>
        <family val="2"/>
        <scheme val="minor"/>
      </rPr>
      <t>(FT + .33PT)</t>
    </r>
  </si>
  <si>
    <t>Total Fall Census Enrollment</t>
  </si>
  <si>
    <t>Total Census-and-Beyond Students</t>
  </si>
  <si>
    <t>Campus Completion and Continuation Rate</t>
  </si>
  <si>
    <t>Sector Completion and Continuation Rate</t>
  </si>
  <si>
    <t>as of      2008-09</t>
  </si>
  <si>
    <t>as of       2009-10</t>
  </si>
  <si>
    <t>Total Completions and Continuations</t>
  </si>
  <si>
    <r>
      <t xml:space="preserve">Trends in SUNY </t>
    </r>
    <r>
      <rPr>
        <b/>
        <u/>
        <sz val="12"/>
        <rFont val="Calibri"/>
        <family val="2"/>
        <scheme val="minor"/>
      </rPr>
      <t>Educational Outcomes</t>
    </r>
    <r>
      <rPr>
        <b/>
        <sz val="12"/>
        <rFont val="Calibri"/>
        <family val="2"/>
        <scheme val="minor"/>
      </rPr>
      <t xml:space="preserve"> </t>
    </r>
  </si>
  <si>
    <r>
      <rPr>
        <b/>
        <u/>
        <sz val="12"/>
        <rFont val="Calibri"/>
        <family val="2"/>
        <scheme val="minor"/>
      </rPr>
      <t>Trends in Specific Student Opinion Survey Items</t>
    </r>
    <r>
      <rPr>
        <b/>
        <sz val="12"/>
        <rFont val="Calibri"/>
        <family val="2"/>
        <scheme val="minor"/>
      </rPr>
      <t xml:space="preserve"> </t>
    </r>
  </si>
  <si>
    <t>Campus Graduation Rates</t>
  </si>
  <si>
    <t xml:space="preserve">Academic Experience </t>
  </si>
  <si>
    <t xml:space="preserve">Academic Services and Facilities </t>
  </si>
  <si>
    <t xml:space="preserve">Institutional Environment and Services </t>
  </si>
  <si>
    <r>
      <t xml:space="preserve">Trends in </t>
    </r>
    <r>
      <rPr>
        <b/>
        <u/>
        <sz val="12"/>
        <rFont val="Calibri"/>
        <family val="2"/>
        <scheme val="minor"/>
      </rPr>
      <t>Research Expenditures, Disclosures, Patents and Licenses</t>
    </r>
  </si>
  <si>
    <t>Disclosures, Patents, and Licenses</t>
  </si>
  <si>
    <r>
      <t xml:space="preserve">Trends in </t>
    </r>
    <r>
      <rPr>
        <b/>
        <u/>
        <sz val="12"/>
        <rFont val="Calibri"/>
        <family val="2"/>
        <scheme val="minor"/>
      </rPr>
      <t>Student Default Rates and Financial Literacy</t>
    </r>
  </si>
  <si>
    <r>
      <t>National Student Default Rates</t>
    </r>
    <r>
      <rPr>
        <b/>
        <i/>
        <vertAlign val="superscript"/>
        <sz val="10"/>
        <rFont val="Calibri"/>
        <family val="2"/>
        <scheme val="minor"/>
      </rPr>
      <t>1</t>
    </r>
  </si>
  <si>
    <t>4-Year Public</t>
  </si>
  <si>
    <t>SOS Results Table 2</t>
  </si>
  <si>
    <t>SOS Results Table 1</t>
  </si>
  <si>
    <t>Baccalaureate Degrees Awarded</t>
  </si>
  <si>
    <t>4-Year Percent Change</t>
  </si>
  <si>
    <t>Graduates (SUNY)</t>
  </si>
  <si>
    <t>Graduates (Non-SUNY)</t>
  </si>
  <si>
    <t>Persisters (SUNY)</t>
  </si>
  <si>
    <t>Persisters (Non-SUNY)</t>
  </si>
  <si>
    <t>Transfers (SUNY)</t>
  </si>
  <si>
    <t>Transfers (Non-SUNY)</t>
  </si>
  <si>
    <t>Plan
2015-16</t>
  </si>
  <si>
    <t>Plan
2018-19</t>
  </si>
  <si>
    <t>Plan
2020-21</t>
  </si>
  <si>
    <t>First-Time, Full-Time In a Program Cohort</t>
  </si>
  <si>
    <t>Transfer, Full-Time In a Program Cohort</t>
  </si>
  <si>
    <t>Campus First Year Retention Rate</t>
  </si>
  <si>
    <t>Sector First Year Retention Rate</t>
  </si>
  <si>
    <t>National Public First Year Retention Rate</t>
  </si>
  <si>
    <r>
      <t xml:space="preserve">Trends in </t>
    </r>
    <r>
      <rPr>
        <b/>
        <u/>
        <sz val="12"/>
        <rFont val="Calibri"/>
        <family val="2"/>
        <scheme val="minor"/>
      </rPr>
      <t>Alumni and Philanthropy</t>
    </r>
  </si>
  <si>
    <t>Official AAFTE</t>
  </si>
  <si>
    <t>Planned AAFTE</t>
  </si>
  <si>
    <r>
      <t xml:space="preserve">Trends in </t>
    </r>
    <r>
      <rPr>
        <b/>
        <u/>
        <sz val="12"/>
        <rFont val="Calibri"/>
        <family val="2"/>
        <scheme val="minor"/>
      </rPr>
      <t>Student Enrollment Beyond Fall Census</t>
    </r>
  </si>
  <si>
    <r>
      <t>Not Classifiable</t>
    </r>
    <r>
      <rPr>
        <i/>
        <vertAlign val="superscript"/>
        <sz val="10"/>
        <rFont val="Calibri"/>
        <family val="2"/>
        <scheme val="minor"/>
      </rPr>
      <t>2</t>
    </r>
  </si>
  <si>
    <r>
      <t>Not Classifiable</t>
    </r>
    <r>
      <rPr>
        <i/>
        <vertAlign val="superscript"/>
        <sz val="10"/>
        <rFont val="Calibri"/>
        <family val="2"/>
        <scheme val="minor"/>
      </rPr>
      <t>2</t>
    </r>
    <r>
      <rPr>
        <i/>
        <sz val="10"/>
        <rFont val="Calibri"/>
        <family val="2"/>
        <scheme val="minor"/>
      </rPr>
      <t xml:space="preserve"> </t>
    </r>
  </si>
  <si>
    <t>Plan as of Fall 2015</t>
  </si>
  <si>
    <t>Plan as of Fall 2018</t>
  </si>
  <si>
    <t>Plan as of Fall 2020</t>
  </si>
  <si>
    <t>Sector Graduation Rates</t>
  </si>
  <si>
    <t>as of          Fall 2011</t>
  </si>
  <si>
    <t>as of         Fall 2012</t>
  </si>
  <si>
    <t>as of          Fall 2013</t>
  </si>
  <si>
    <t>as of            Fall 2014</t>
  </si>
  <si>
    <r>
      <t xml:space="preserve">First-Time, Full-Time Baccalaureate Degree Students </t>
    </r>
    <r>
      <rPr>
        <i/>
        <sz val="10"/>
        <rFont val="Calibri"/>
        <family val="2"/>
        <scheme val="minor"/>
      </rPr>
      <t>(tracked at 6 years out)</t>
    </r>
  </si>
  <si>
    <r>
      <t xml:space="preserve">First-Time, Full-Time Associate Degree Students  </t>
    </r>
    <r>
      <rPr>
        <i/>
        <sz val="10"/>
        <rFont val="Calibri"/>
        <family val="2"/>
        <scheme val="minor"/>
      </rPr>
      <t>(tracked at 4 years out)</t>
    </r>
  </si>
  <si>
    <t>Campus Relative to Sector</t>
  </si>
  <si>
    <t>Campus Scale Score</t>
  </si>
  <si>
    <t>Sector      Scale Score</t>
  </si>
  <si>
    <t>Overall       State-Op       Scale Score</t>
  </si>
  <si>
    <t>Plan 2015</t>
  </si>
  <si>
    <t>Plan 2020</t>
  </si>
  <si>
    <t>Plan 2018</t>
  </si>
  <si>
    <t>Plan         2014-15</t>
  </si>
  <si>
    <t>Plan             2018-19</t>
  </si>
  <si>
    <t>3-year Associate Graduation Rate</t>
  </si>
  <si>
    <t>6-year Baccalaureate Graduation Rate</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</si>
  <si>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</si>
  <si>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</si>
  <si>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</si>
  <si>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</si>
  <si>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</si>
  <si>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</si>
  <si>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</si>
  <si>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</si>
  <si>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</si>
  <si>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</si>
  <si>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</si>
  <si>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</si>
  <si>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</si>
  <si>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</si>
  <si>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</si>
  <si>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</si>
  <si>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</si>
  <si>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</si>
  <si>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 xml:space="preserve">Total Sponsored Activity - SUNYRF ($mil.) </t>
  </si>
  <si>
    <r>
      <t xml:space="preserve">Research Expenditures:  Sponsored Activity </t>
    </r>
    <r>
      <rPr>
        <b/>
        <vertAlign val="superscript"/>
        <sz val="10"/>
        <rFont val="Calibri"/>
        <family val="2"/>
        <scheme val="minor"/>
      </rPr>
      <t>1</t>
    </r>
  </si>
  <si>
    <r>
      <t xml:space="preserve">Research Expenditures:  National Science Foundation (NSF) </t>
    </r>
    <r>
      <rPr>
        <b/>
        <vertAlign val="superscript"/>
        <sz val="10"/>
        <rFont val="Calibri"/>
        <family val="2"/>
        <scheme val="minor"/>
      </rPr>
      <t>2</t>
    </r>
  </si>
  <si>
    <t>SUNY Educ Outcomes</t>
  </si>
  <si>
    <t>Default rate offset</t>
  </si>
  <si>
    <t>national offset</t>
  </si>
  <si>
    <t>smart track offset</t>
  </si>
  <si>
    <t>Teresa</t>
  </si>
  <si>
    <t>Teresa, Audrey</t>
  </si>
  <si>
    <t>Rebecca (Cathy/Mark)</t>
  </si>
  <si>
    <r>
      <t>Campus Student Default Rates</t>
    </r>
    <r>
      <rPr>
        <b/>
        <vertAlign val="superscript"/>
        <sz val="10"/>
        <rFont val="Calibri"/>
        <family val="2"/>
        <scheme val="minor"/>
      </rPr>
      <t>1</t>
    </r>
  </si>
  <si>
    <r>
      <t>Default Rate - 3YR</t>
    </r>
    <r>
      <rPr>
        <i/>
        <vertAlign val="superscript"/>
        <sz val="10"/>
        <rFont val="Calibri"/>
        <family val="2"/>
        <scheme val="minor"/>
      </rPr>
      <t>2</t>
    </r>
  </si>
  <si>
    <r>
      <rPr>
        <vertAlign val="superscript"/>
        <sz val="10"/>
        <rFont val="Calibri"/>
        <family val="2"/>
        <scheme val="minor"/>
      </rPr>
      <t xml:space="preserve">2 </t>
    </r>
    <r>
      <rPr>
        <sz val="10"/>
        <rFont val="Calibri"/>
        <family val="2"/>
        <scheme val="minor"/>
      </rPr>
      <t xml:space="preserve">The federal cohort default rate calculation beginning for the 2009 cohort year increases  the numerator to include an additional year of students in default. Beginning in 2012, only the 3 year rate will be calculated. </t>
    </r>
  </si>
  <si>
    <t>In other</t>
  </si>
  <si>
    <t>assoc offset (sector_national)</t>
  </si>
  <si>
    <t>ba offset (sector_national)</t>
  </si>
  <si>
    <t>In continuing and returning</t>
  </si>
  <si>
    <t>as of
Fall 2015</t>
  </si>
  <si>
    <r>
      <t xml:space="preserve">Trends in Fall Student </t>
    </r>
    <r>
      <rPr>
        <b/>
        <u/>
        <sz val="12"/>
        <rFont val="Calibri"/>
        <family val="2"/>
        <scheme val="minor"/>
      </rPr>
      <t>Enrollment and AAFTE</t>
    </r>
  </si>
  <si>
    <t>AAFTE</t>
  </si>
  <si>
    <t>Source:  NYSED-1 Admissions and Ability Measures of FT, FT Freshmen and SUNY Data Warehouse</t>
  </si>
  <si>
    <t>Students Eligible to Apply for Pell</t>
  </si>
  <si>
    <t>Source:  SUNY Data Warehouse</t>
  </si>
  <si>
    <t>Source:  SUNY Data Warehouse and Campus Approved Enrollment Plans</t>
  </si>
  <si>
    <t xml:space="preserve">Source:  SUNY Data Warehouse </t>
  </si>
  <si>
    <t>Source:  SUNY Data Warehouse.  National public benchmarks based on most recent data available from the Integrated Post Secondary Education Data System (IPEDS).</t>
  </si>
  <si>
    <t>Source:  SUNY Data Warehouse.   National public benchmarks based on most recent data available from the Integrated Post Secondary Education Data System (IPEDS).</t>
  </si>
  <si>
    <r>
      <rPr>
        <b/>
        <u/>
        <sz val="12"/>
        <rFont val="Calibri"/>
        <family val="2"/>
        <scheme val="minor"/>
      </rPr>
      <t>2012 Student Opinion Survey</t>
    </r>
    <r>
      <rPr>
        <b/>
        <sz val="12"/>
        <rFont val="Calibri"/>
        <family val="2"/>
        <scheme val="minor"/>
      </rPr>
      <t xml:space="preserve"> </t>
    </r>
  </si>
  <si>
    <t>Source:  SUNY Office of Financial Aid</t>
  </si>
  <si>
    <t>Source:  University Controller's Office, VSE Survey, and SUNY Office of Advancement</t>
  </si>
  <si>
    <t>Source:  IPEDS HR Survey</t>
  </si>
  <si>
    <r>
      <t xml:space="preserve">Trends in </t>
    </r>
    <r>
      <rPr>
        <b/>
        <u/>
        <sz val="12"/>
        <rFont val="Calibri"/>
        <family val="2"/>
        <scheme val="minor"/>
      </rPr>
      <t>Graduation Rates of First-Time Full-Time Students</t>
    </r>
  </si>
  <si>
    <t>2014-15</t>
  </si>
  <si>
    <t>Sector Assoc Offset</t>
  </si>
  <si>
    <t>Sector BA Offset</t>
  </si>
  <si>
    <t>Sector offset</t>
  </si>
  <si>
    <t>Note: Derived Student Opinion Scales summarize factors important to student success; scores are rated (high to low) relative to the overall average for state-operated campuses.</t>
  </si>
  <si>
    <t>Note: Student Satisfaction is measured on a five-point Likert scale, where five represents the highest level of satisfaction. Derived Student Opinion Scales (top table) summarize factors important to student success.  Campus score ratings (high or low) were based on Z score to  overall average for state-operated campuses.</t>
  </si>
  <si>
    <t>Area/No.</t>
  </si>
  <si>
    <t>(A.1-3)</t>
  </si>
  <si>
    <t>(A.1-1)</t>
  </si>
  <si>
    <t>(A.1-4)</t>
  </si>
  <si>
    <t>(A.1-5)</t>
  </si>
  <si>
    <t>(A.3-6)</t>
  </si>
  <si>
    <t>(A.3-3)</t>
  </si>
  <si>
    <t>(A.4-3)</t>
  </si>
  <si>
    <t>(A.4-7)</t>
  </si>
  <si>
    <t>(B.4-6)</t>
  </si>
  <si>
    <t>(B.2-2)</t>
  </si>
  <si>
    <t>(B.2-1)</t>
  </si>
  <si>
    <t>(B.2-3)</t>
  </si>
  <si>
    <t>(B.4-1)</t>
  </si>
  <si>
    <t>(B.4-2)</t>
  </si>
  <si>
    <t>(B.4-3)</t>
  </si>
  <si>
    <t>(B.4-5)</t>
  </si>
  <si>
    <t>(B.3-4)</t>
  </si>
  <si>
    <t>(C.3-1)</t>
  </si>
  <si>
    <t>(C.3-6)</t>
  </si>
  <si>
    <t>(C.9-1)</t>
  </si>
  <si>
    <t>(C.4-6)</t>
  </si>
  <si>
    <t>(C.2-1)</t>
  </si>
  <si>
    <t>(C.8-6)</t>
  </si>
  <si>
    <t>(C.8-5)</t>
  </si>
  <si>
    <t>Satisfaction with the College in General</t>
  </si>
  <si>
    <t>Overall Impression of the Quality of Education</t>
  </si>
  <si>
    <t>Would Choose to Attend the College Again</t>
  </si>
  <si>
    <t>Helped Me Meet the Goals I Came Here to Achieve</t>
  </si>
  <si>
    <t>Faculty Used Innovative Technology to Facilitate Learning</t>
  </si>
  <si>
    <t>Engaged in Research or Other Creative Projects</t>
  </si>
  <si>
    <t>Acquiring Knowledge and Skills for a Career</t>
  </si>
  <si>
    <t>Understanding and Appreciating Diversity</t>
  </si>
  <si>
    <t>Quality of Instruction</t>
  </si>
  <si>
    <t>Academic Advising, General</t>
  </si>
  <si>
    <t>Access to Computing / College Computer Network</t>
  </si>
  <si>
    <t>Library Resources and Services</t>
  </si>
  <si>
    <t>Class Size Relative to Course Type</t>
  </si>
  <si>
    <t>Availability of Courses in Major</t>
  </si>
  <si>
    <t>Availability of Gen Ed Courses</t>
  </si>
  <si>
    <t>Availability of Internships</t>
  </si>
  <si>
    <t>General Condition of Buildings and Grounds</t>
  </si>
  <si>
    <t>Sense of Belonging</t>
  </si>
  <si>
    <t>Faculty Respect for Students</t>
  </si>
  <si>
    <t>Personal Security/Safety</t>
  </si>
  <si>
    <t>Sexual Assault Prevention Programs/Activities</t>
  </si>
  <si>
    <t>Degree of Difficulty Financing College Education</t>
  </si>
  <si>
    <t>Financial Aid Services</t>
  </si>
  <si>
    <t>Condition of Residence Halls</t>
  </si>
  <si>
    <t>Academic Experiences (compared to expectations)</t>
  </si>
  <si>
    <t>(A.1-2)</t>
  </si>
  <si>
    <t>Percent Total Headcount Male</t>
  </si>
  <si>
    <t>Percent Pell Receipents</t>
  </si>
  <si>
    <t>National Science Foundation R&amp;D Total</t>
  </si>
  <si>
    <t>Plan 2015 offset</t>
  </si>
  <si>
    <t>Campus Relative to All</t>
  </si>
  <si>
    <t>Funds Raised ($millions)</t>
  </si>
  <si>
    <t>Time Credits to Degree</t>
  </si>
  <si>
    <t>Degrees Awards Granted</t>
  </si>
  <si>
    <t>Financial Aid Literacy</t>
  </si>
  <si>
    <t>Alumni Philanthropy</t>
  </si>
  <si>
    <t>First-Time and Transfer Student Time to Degree (in years) and Average Number of Credits at Graduation</t>
  </si>
  <si>
    <t>Associates</t>
  </si>
  <si>
    <t>Baccalaureate</t>
  </si>
  <si>
    <t>National 2-Yr Public Graduation Rates</t>
  </si>
  <si>
    <t>National 4-Yr Public Graduation Rates</t>
  </si>
  <si>
    <t>Cohort Size</t>
  </si>
  <si>
    <t>Other Enrollment Populations</t>
  </si>
  <si>
    <t>Two-Year</t>
  </si>
  <si>
    <t>Three-Year</t>
  </si>
  <si>
    <t>Four-Year</t>
  </si>
  <si>
    <t>Five-Year</t>
  </si>
  <si>
    <t>Six-Year</t>
  </si>
  <si>
    <t>Percent Change</t>
  </si>
  <si>
    <t>4 or 5-Year Percent Change</t>
  </si>
  <si>
    <t>SUNY_INSTITUTION_ID</t>
  </si>
  <si>
    <t>Plan as of            Fall 2015</t>
  </si>
  <si>
    <t>Plan as of            Fall 2018</t>
  </si>
  <si>
    <t>Plan as of            Fall 2020</t>
  </si>
  <si>
    <t>2015-16</t>
  </si>
  <si>
    <t>Campus % Full-time excluding EOC faculty</t>
  </si>
  <si>
    <t>Faculty and Student FTEs - excluding EOC faculty</t>
  </si>
  <si>
    <t>Subset of Faculty that are EOC</t>
  </si>
  <si>
    <t>Subset of Staff that are EOC</t>
  </si>
  <si>
    <t>Campus % Full-time excluding EOC staff</t>
  </si>
  <si>
    <t>% Change</t>
  </si>
  <si>
    <t>Data Element</t>
  </si>
  <si>
    <t>Campus</t>
  </si>
  <si>
    <t>Category</t>
  </si>
  <si>
    <t>Period</t>
  </si>
  <si>
    <t>Value</t>
  </si>
  <si>
    <t>Period Name</t>
  </si>
  <si>
    <t>Title</t>
  </si>
  <si>
    <t>Data</t>
  </si>
  <si>
    <t>Data Format</t>
  </si>
  <si>
    <t>#,###</t>
  </si>
  <si>
    <t>$#,###</t>
  </si>
  <si>
    <t>$#,###.0</t>
  </si>
  <si>
    <t>0.0%</t>
  </si>
  <si>
    <t>Period Category</t>
  </si>
  <si>
    <t>Academic Year</t>
  </si>
  <si>
    <t>Fiscal Year</t>
  </si>
  <si>
    <t>Fall Semester</t>
  </si>
  <si>
    <t>2018-19</t>
  </si>
  <si>
    <t>2020-21</t>
  </si>
  <si>
    <t>Set 1</t>
  </si>
  <si>
    <t>Set 2</t>
  </si>
  <si>
    <t>Graph Type</t>
  </si>
  <si>
    <t>bar</t>
  </si>
  <si>
    <t>line</t>
  </si>
  <si>
    <t>bar, with legend</t>
  </si>
  <si>
    <t>LIne</t>
  </si>
  <si>
    <t>Sector Totals: Doctoral</t>
  </si>
  <si>
    <t>Sector Totals: Comprehensive</t>
  </si>
  <si>
    <t>Sector Totals: Technology Colleges</t>
  </si>
  <si>
    <t>Sector Totals: Community Colleges</t>
  </si>
  <si>
    <t>State Operated Totals</t>
  </si>
  <si>
    <t>Community Colleges Totals</t>
  </si>
  <si>
    <t>SUNY Totals</t>
  </si>
  <si>
    <t>Sector Codes</t>
  </si>
  <si>
    <t>Aggregate Codes</t>
  </si>
  <si>
    <t>Undergraduate Certificates Awarded</t>
  </si>
  <si>
    <t>Graduate Certificates Awarded</t>
  </si>
  <si>
    <t>Change</t>
  </si>
  <si>
    <t>EOP Enrollment</t>
  </si>
  <si>
    <t>Sponsored Activity - Total ($millions)</t>
  </si>
  <si>
    <t>Sponsored Activity - Nonfederal</t>
  </si>
  <si>
    <t>Alumni Giving Rate</t>
  </si>
  <si>
    <t>Set 3</t>
  </si>
  <si>
    <t>National</t>
  </si>
  <si>
    <t>All Public</t>
  </si>
  <si>
    <t>4 Yr Public</t>
  </si>
  <si>
    <t>2 Yr Public</t>
  </si>
  <si>
    <t>Sort</t>
  </si>
  <si>
    <t>Tab Name</t>
  </si>
  <si>
    <t>N/A</t>
  </si>
  <si>
    <t>Remedial</t>
  </si>
  <si>
    <t>Attachment 2: Data Summary and Detail Tables</t>
  </si>
  <si>
    <t>SUNY Excels: Data Executive Summary</t>
  </si>
  <si>
    <t>SUNY Excels: Data Graphics with National Benchmarks</t>
  </si>
  <si>
    <t>State-Operated Campuses</t>
  </si>
  <si>
    <t>16.215.96</t>
  </si>
  <si>
    <r>
      <rPr>
        <vertAlign val="superscript"/>
        <sz val="9"/>
        <rFont val="Calibri"/>
        <family val="2"/>
        <scheme val="minor"/>
      </rPr>
      <t>1</t>
    </r>
    <r>
      <rPr>
        <sz val="9"/>
        <rFont val="Calibri"/>
        <family val="2"/>
        <scheme val="minor"/>
      </rPr>
      <t xml:space="preserve"> The federal cohort default rate reported as the 3 year rate.</t>
    </r>
  </si>
  <si>
    <r>
      <t>Student Default Rates - State Operated</t>
    </r>
    <r>
      <rPr>
        <vertAlign val="superscript"/>
        <sz val="11"/>
        <rFont val="Calibri"/>
        <family val="2"/>
        <scheme val="minor"/>
      </rPr>
      <t>1</t>
    </r>
  </si>
  <si>
    <r>
      <t>Student Default Rates - Community Colleges</t>
    </r>
    <r>
      <rPr>
        <vertAlign val="superscript"/>
        <sz val="11"/>
        <rFont val="Calibri"/>
        <family val="2"/>
        <scheme val="minor"/>
      </rPr>
      <t>1</t>
    </r>
  </si>
  <si>
    <r>
      <t>Student Default Rates - Campus</t>
    </r>
    <r>
      <rPr>
        <vertAlign val="superscript"/>
        <sz val="11"/>
        <rFont val="Calibri"/>
        <family val="2"/>
        <scheme val="minor"/>
      </rPr>
      <t>1</t>
    </r>
  </si>
  <si>
    <t>Percent Student Underrepresented Minority</t>
  </si>
  <si>
    <t>Percent Student Minority</t>
  </si>
  <si>
    <t>SUNY Poly</t>
  </si>
  <si>
    <t>Alfred-Ceramics</t>
  </si>
  <si>
    <t>Cornell Stat</t>
  </si>
  <si>
    <t>8a</t>
  </si>
  <si>
    <t>8b</t>
  </si>
  <si>
    <r>
      <t>Underrepresented Minorities</t>
    </r>
    <r>
      <rPr>
        <b/>
        <vertAlign val="superscript"/>
        <sz val="10"/>
        <rFont val="Calibri"/>
        <family val="2"/>
        <scheme val="minor"/>
      </rPr>
      <t>1</t>
    </r>
  </si>
  <si>
    <t>Student FTE (fall semester)</t>
  </si>
  <si>
    <t>Total Non-Credit Instructional Activity/Continuing Education</t>
  </si>
  <si>
    <t>First-Time Part-Time Student Retention</t>
  </si>
  <si>
    <t>First-Time Full-Time Student Retention</t>
  </si>
  <si>
    <t>First-Time, Part-Time In a Program Cohort</t>
  </si>
  <si>
    <t>Transfer Full-Time Student Retention</t>
  </si>
  <si>
    <t>Desc</t>
  </si>
  <si>
    <t>Report Table #</t>
  </si>
  <si>
    <t>Database Table Number</t>
  </si>
  <si>
    <t>Database code</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</si>
  <si>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</si>
  <si>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</si>
  <si>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</si>
  <si>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</si>
  <si>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</si>
  <si>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</si>
  <si>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</si>
  <si>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</si>
  <si>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</si>
  <si>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</si>
  <si>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</si>
  <si>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</si>
  <si>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</si>
  <si>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</si>
  <si>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</si>
  <si>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</si>
  <si>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</si>
  <si>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</si>
  <si>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</si>
  <si>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Sort Order</t>
  </si>
  <si>
    <t>2014 (reference)</t>
  </si>
  <si>
    <t>SUNY Excels 2015 Performance Improvement Plan</t>
  </si>
  <si>
    <t>Time to Degree (years) - Baccalaurete</t>
  </si>
  <si>
    <t>Time to Degree (years) - Associates</t>
  </si>
  <si>
    <r>
      <t xml:space="preserve">Trends in </t>
    </r>
    <r>
      <rPr>
        <b/>
        <u/>
        <sz val="12"/>
        <rFont val="Calibri"/>
        <family val="2"/>
        <scheme val="minor"/>
      </rPr>
      <t>Geographic Diversity of Students</t>
    </r>
  </si>
  <si>
    <t>Undergraduate Students</t>
  </si>
  <si>
    <t>Graduate Students</t>
  </si>
  <si>
    <r>
      <t xml:space="preserve">Trends in First Year </t>
    </r>
    <r>
      <rPr>
        <b/>
        <u/>
        <sz val="12"/>
        <rFont val="Calibri"/>
        <family val="2"/>
        <scheme val="minor"/>
      </rPr>
      <t>Retention for First-Time (Full-Time and Part-Time) and Transfer Matriculated Students</t>
    </r>
  </si>
  <si>
    <t>X</t>
  </si>
  <si>
    <t>Note: AAFTE for 2014-15 is an estimate and will change as data is finalized for the academic year.</t>
  </si>
  <si>
    <t/>
  </si>
  <si>
    <t xml:space="preserve">Average </t>
  </si>
  <si>
    <t>Average -</t>
  </si>
  <si>
    <t>Low</t>
  </si>
  <si>
    <t>Average +</t>
  </si>
  <si>
    <t>In the Data Summary and Detail Tables Excel workbook we ask that you review the data and provide us with your campus goals for these measures for 2018 and 2020 (green cells).  Please be sure to use this Excel file and sent it back to us intact.  There are several hidden columns, rows and worksheets that when sent back, will help us compile and aggregate this data.</t>
  </si>
  <si>
    <t>Data provided for reference only.  
No goals requested.</t>
  </si>
  <si>
    <t>Attachment 2: Data Summary and Detail Tables - Canton</t>
  </si>
  <si>
    <t>15.180.25</t>
  </si>
  <si>
    <t>15.182.25</t>
  </si>
  <si>
    <t>15.186.25</t>
  </si>
  <si>
    <t>15.183.25</t>
  </si>
  <si>
    <t>15.181.25</t>
  </si>
  <si>
    <t>15.184.25</t>
  </si>
  <si>
    <t>15.185.25</t>
  </si>
  <si>
    <t>15.210.90</t>
  </si>
  <si>
    <t>15.194.25</t>
  </si>
  <si>
    <t>15.196.25</t>
  </si>
  <si>
    <t>15.200.25</t>
  </si>
  <si>
    <t>15.197.25</t>
  </si>
  <si>
    <t>15.195.25</t>
  </si>
  <si>
    <t>15.211.90</t>
  </si>
  <si>
    <t>The Associates degree graduation rates do not allow for completion of a bachelor's degree. Many of our students enter college in an associates degree or certificate program and transfer into a bachelor's degree. The charts above to not "count" these students who complete a bachelor's degree as successes. Graduation rates for associates degree-seeking should be calculated following the IPEDS methodology which allows for students to count in the graduation rate if they graduate from a different degree level in 150% time. Our numbers include students who graduate from a bachelor's degree program, even though the chart above does not allow for them to take more than four years to do so. The bachelor's degree graduation rates do not count students who completed an associates degree or a certificate as a success. Non-inclusion of these students reduces our graduation rate by 10 percentage points for the bachelor's degree-seeking cohort (for the Fall 2009 cohort, the actual rate including those who graduate with certificates/associates in 150% is 40.8% compared to the reported 30.9%.)</t>
  </si>
  <si>
    <t>Graduation rates for the bachelor's degree-seeking cohort appear lower than they are as these calculations do not count students who opted for an associates degree or a certificate as a success (even if they graduated within 150% time.)</t>
  </si>
  <si>
    <t>x</t>
  </si>
  <si>
    <r>
      <rPr>
        <vertAlign val="superscript"/>
        <sz val="10"/>
        <rFont val="Calibri"/>
        <family val="2"/>
        <scheme val="minor"/>
      </rPr>
      <t>1</t>
    </r>
    <r>
      <rPr>
        <sz val="10"/>
        <rFont val="Calibri"/>
        <family val="2"/>
        <scheme val="minor"/>
      </rPr>
      <t xml:space="preserve"> Selectivity Group Profile is based on first-time full-time students in a baccalaureate program, regular admits.</t>
    </r>
  </si>
  <si>
    <r>
      <rPr>
        <vertAlign val="superscript"/>
        <sz val="10"/>
        <rFont val="Calibri"/>
        <family val="2"/>
        <scheme val="minor"/>
      </rPr>
      <t>1</t>
    </r>
    <r>
      <rPr>
        <sz val="10"/>
        <rFont val="Calibri"/>
        <family val="2"/>
        <scheme val="minor"/>
      </rPr>
      <t xml:space="preserve"> Cohort Default Rates are calculated on a 10/1 – 9/30 cohort year.  The 2011 3YR rate for the 2011 cohort/repayment denominator of 10/1/2010 to 9/30/2011 and a default numerator of 10/1/2010 to 09/30/2013.</t>
    </r>
  </si>
  <si>
    <r>
      <t>1</t>
    </r>
    <r>
      <rPr>
        <sz val="10"/>
        <rFont val="Calibri"/>
        <family val="2"/>
        <scheme val="minor"/>
      </rPr>
      <t xml:space="preserve"> Based on graduates from July 1 of year one through June 30 of the following year.</t>
    </r>
  </si>
  <si>
    <t xml:space="preserve">Notes: Enrollment targets are dependent on timely approval of program revisions and proposals.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</si>
</sst>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quot;$&quot;#,##0.0"/>
    <numFmt numFmtId="167" formatCode="&quot;$&quot;#,##0.00"/>
    <numFmt numFmtId="168" formatCode="_(* #,##0_);_(* \(#,##0\);_(* &quot;-&quot;??_);_(@_)"/>
    <numFmt numFmtId="169" formatCode="&quot;$&quot;#,##0"/>
    <numFmt numFmtId="170" formatCode="_(&quot;$&quot;* #,##0.0_);_(&quot;$&quot;* \(#,##0.0\);_(&quot;$&quot;* &quot;-&quot;?_);_(@_)"/>
    <numFmt numFmtId="171" formatCode="#,##0.0"/>
    <numFmt numFmtId="172" formatCode="_(* #,##0.0_);_(* \(#,##0.0\);_(* &quot;-&quot;??_);_(@_)"/>
    <numFmt numFmtId="173" formatCode="_(&quot;$&quot;* #,##0.0_);_(&quot;$&quot;* \(#,##0.0\);_(&quot;$&quot;* &quot;-&quot;??_);_(@_)"/>
    <numFmt numFmtId="174" formatCode="_(&quot;$&quot;#,##0.0_);_(&quot;$&quot;\(#,##0.0\);_(&quot;$&quot;&quot;-&quot;??_);_(@_)"/>
    <numFmt numFmtId="175" formatCode="0.000000000000000%"/>
    <numFmt numFmtId="176" formatCode="_(&quot;$&quot;* #,##0.000_);_(&quot;$&quot;* \(#,##0.000\);_(&quot;$&quot;* &quot;-&quot;??_);_(@_)"/>
    <numFmt numFmtId="177" formatCode="0.0%;\-0.0%;\-;\-"/>
    <numFmt numFmtId="178" formatCode="&quot;$&quot;#,##0.00;\-&quot;$&quot;#,##0.00;\-;\-"/>
    <numFmt numFmtId="179" formatCode="#,##0;\(#,##0\);\-;\-"/>
    <numFmt numFmtId="180" formatCode="0.00;\-0.00;;"/>
  </numFmts>
  <fonts count="11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Calibri"/>
      <family val="2"/>
      <scheme val="minor"/>
    </font>
    <font>
      <sz val="11"/>
      <name val="Calibri"/>
      <family val="2"/>
      <scheme val="minor"/>
    </font>
    <font>
      <b/>
      <sz val="12"/>
      <name val="Calibri"/>
      <family val="2"/>
      <scheme val="minor"/>
    </font>
    <font>
      <b/>
      <i/>
      <sz val="11"/>
      <name val="Calibri"/>
      <family val="2"/>
      <scheme val="minor"/>
    </font>
    <font>
      <i/>
      <sz val="11"/>
      <name val="Calibri"/>
      <family val="2"/>
      <scheme val="minor"/>
    </font>
    <font>
      <sz val="11"/>
      <color rgb="FFFF0000"/>
      <name val="Calibri"/>
      <family val="2"/>
      <scheme val="minor"/>
    </font>
    <font>
      <b/>
      <sz val="12"/>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b/>
      <sz val="11"/>
      <color indexed="12"/>
      <name val="Arial"/>
      <family val="2"/>
    </font>
    <font>
      <b/>
      <sz val="14"/>
      <name val="Arial"/>
      <family val="2"/>
    </font>
    <font>
      <sz val="10"/>
      <color theme="1"/>
      <name val="Arial"/>
      <family val="2"/>
    </font>
    <font>
      <sz val="10"/>
      <color indexed="8"/>
      <name val="Arial"/>
      <family val="2"/>
    </font>
    <font>
      <sz val="11"/>
      <color indexed="8"/>
      <name val="Calibri"/>
      <family val="2"/>
    </font>
    <font>
      <b/>
      <sz val="11"/>
      <color indexed="8"/>
      <name val="Calibri"/>
      <family val="2"/>
    </font>
    <font>
      <b/>
      <sz val="10"/>
      <color indexed="8"/>
      <name val="Arial"/>
      <family val="2"/>
    </font>
    <font>
      <sz val="11"/>
      <color indexed="9"/>
      <name val="Calibri"/>
      <family val="2"/>
    </font>
    <font>
      <sz val="11"/>
      <color indexed="20"/>
      <name val="Calibri"/>
      <family val="2"/>
    </font>
    <font>
      <b/>
      <sz val="11"/>
      <color indexed="52"/>
      <name val="Calibri"/>
      <family val="2"/>
      <scheme val="minor"/>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theme="1"/>
      <name val="Times New Roman"/>
      <family val="2"/>
    </font>
    <font>
      <sz val="12"/>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scheme val="minor"/>
    </font>
    <font>
      <sz val="11"/>
      <color indexed="60"/>
      <name val="Calibri"/>
      <family val="2"/>
    </font>
    <font>
      <sz val="12"/>
      <name val="SWISS"/>
    </font>
    <font>
      <sz val="10"/>
      <color indexed="64"/>
      <name val="Arial"/>
      <family val="2"/>
    </font>
    <font>
      <sz val="12"/>
      <name val="Arial"/>
      <family val="2"/>
    </font>
    <font>
      <b/>
      <sz val="11"/>
      <color indexed="63"/>
      <name val="Calibri"/>
      <family val="2"/>
    </font>
    <font>
      <sz val="10"/>
      <color rgb="FF3F3F3F"/>
      <name val="Calibri"/>
      <family val="2"/>
      <scheme val="minor"/>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12"/>
      <color indexed="8"/>
      <name val="Arial"/>
      <family val="2"/>
    </font>
    <font>
      <sz val="8"/>
      <color indexed="8"/>
      <name val="Arial"/>
      <family val="2"/>
    </font>
    <font>
      <sz val="8"/>
      <color indexed="12"/>
      <name val="Arial"/>
      <family val="2"/>
    </font>
    <font>
      <b/>
      <sz val="18"/>
      <color indexed="56"/>
      <name val="Cambria"/>
      <family val="2"/>
    </font>
    <font>
      <sz val="10"/>
      <color theme="1"/>
      <name val="Calibri"/>
      <family val="2"/>
      <scheme val="minor"/>
    </font>
    <font>
      <sz val="8"/>
      <color indexed="8"/>
      <name val="Wingdings"/>
      <charset val="2"/>
    </font>
    <font>
      <sz val="11"/>
      <color indexed="10"/>
      <name val="Calibri"/>
      <family val="2"/>
    </font>
    <font>
      <b/>
      <sz val="12"/>
      <name val="Arial"/>
      <family val="2"/>
    </font>
    <font>
      <sz val="8"/>
      <name val="Times New Roman"/>
      <family val="1"/>
    </font>
    <font>
      <u/>
      <sz val="8"/>
      <color indexed="12"/>
      <name val="Arial"/>
      <family val="2"/>
    </font>
    <font>
      <sz val="10"/>
      <name val="MS Sans Serif"/>
      <family val="2"/>
    </font>
    <font>
      <b/>
      <sz val="24"/>
      <name val="Arial"/>
      <family val="2"/>
    </font>
    <font>
      <sz val="18"/>
      <name val="Arial"/>
      <family val="2"/>
    </font>
    <font>
      <b/>
      <sz val="18"/>
      <name val="Arial"/>
      <family val="2"/>
    </font>
    <font>
      <b/>
      <sz val="14"/>
      <name val="Bodoni MT Condensed"/>
      <family val="1"/>
    </font>
    <font>
      <b/>
      <sz val="8"/>
      <name val="Times New Roman"/>
      <family val="1"/>
    </font>
    <font>
      <b/>
      <sz val="18"/>
      <name val="Bodoni MT Condensed"/>
      <family val="1"/>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b/>
      <sz val="12"/>
      <color rgb="FF00B050"/>
      <name val="Arial"/>
      <family val="2"/>
    </font>
    <font>
      <b/>
      <sz val="10"/>
      <name val="Arial"/>
      <family val="2"/>
    </font>
    <font>
      <b/>
      <sz val="11"/>
      <name val="Arial"/>
      <family val="2"/>
    </font>
    <font>
      <sz val="10"/>
      <name val="Arial"/>
      <family val="2"/>
    </font>
    <font>
      <b/>
      <sz val="10"/>
      <name val="Calibri"/>
      <family val="2"/>
      <scheme val="minor"/>
    </font>
    <font>
      <sz val="10"/>
      <name val="Calibri"/>
      <family val="2"/>
      <scheme val="minor"/>
    </font>
    <font>
      <sz val="10"/>
      <color rgb="FFFF0000"/>
      <name val="Calibri"/>
      <family val="2"/>
      <scheme val="minor"/>
    </font>
    <font>
      <i/>
      <sz val="10"/>
      <name val="Calibri"/>
      <family val="2"/>
      <scheme val="minor"/>
    </font>
    <font>
      <b/>
      <vertAlign val="superscript"/>
      <sz val="10"/>
      <name val="Calibri"/>
      <family val="2"/>
      <scheme val="minor"/>
    </font>
    <font>
      <vertAlign val="superscript"/>
      <sz val="10"/>
      <name val="Calibri"/>
      <family val="2"/>
      <scheme val="minor"/>
    </font>
    <font>
      <b/>
      <i/>
      <sz val="10"/>
      <name val="Calibri"/>
      <family val="2"/>
      <scheme val="minor"/>
    </font>
    <font>
      <b/>
      <u/>
      <sz val="12"/>
      <name val="Calibri"/>
      <family val="2"/>
      <scheme val="minor"/>
    </font>
    <font>
      <b/>
      <i/>
      <vertAlign val="superscript"/>
      <sz val="10"/>
      <name val="Calibri"/>
      <family val="2"/>
      <scheme val="minor"/>
    </font>
    <font>
      <i/>
      <sz val="9"/>
      <name val="Calibri"/>
      <family val="2"/>
      <scheme val="minor"/>
    </font>
    <font>
      <sz val="8"/>
      <color rgb="FFFF0000"/>
      <name val="Arial"/>
      <family val="2"/>
    </font>
    <font>
      <b/>
      <sz val="22"/>
      <name val="Arial"/>
      <family val="2"/>
    </font>
    <font>
      <i/>
      <vertAlign val="superscript"/>
      <sz val="10"/>
      <name val="Calibri"/>
      <family val="2"/>
      <scheme val="minor"/>
    </font>
    <font>
      <b/>
      <sz val="10"/>
      <color theme="1"/>
      <name val="Calibri"/>
      <family val="2"/>
      <scheme val="minor"/>
    </font>
    <font>
      <b/>
      <sz val="9"/>
      <color theme="1"/>
      <name val="Calibri"/>
      <family val="2"/>
      <scheme val="minor"/>
    </font>
    <font>
      <b/>
      <sz val="16"/>
      <color theme="1" tint="0.34998626667073579"/>
      <name val="Calibri"/>
      <family val="2"/>
      <scheme val="minor"/>
    </font>
    <font>
      <sz val="10"/>
      <color rgb="FFFF0000"/>
      <name val="Arial"/>
      <family val="2"/>
    </font>
    <font>
      <sz val="10"/>
      <color rgb="FF00B050"/>
      <name val="Arial"/>
      <family val="2"/>
    </font>
    <font>
      <b/>
      <sz val="8"/>
      <name val="Arial"/>
      <family val="2"/>
    </font>
    <font>
      <sz val="8"/>
      <color rgb="FF00B050"/>
      <name val="Arial"/>
      <family val="2"/>
    </font>
    <font>
      <sz val="10"/>
      <color rgb="FF7030A0"/>
      <name val="Arial"/>
      <family val="2"/>
    </font>
    <font>
      <sz val="10"/>
      <color theme="0"/>
      <name val="Arial"/>
      <family val="2"/>
    </font>
    <font>
      <vertAlign val="superscript"/>
      <sz val="9"/>
      <name val="Calibri"/>
      <family val="2"/>
      <scheme val="minor"/>
    </font>
    <font>
      <vertAlign val="superscript"/>
      <sz val="11"/>
      <name val="Calibri"/>
      <family val="2"/>
      <scheme val="minor"/>
    </font>
    <font>
      <sz val="14"/>
      <name val="Arial"/>
      <family val="2"/>
    </font>
    <font>
      <b/>
      <sz val="16"/>
      <name val="Calibri"/>
      <family val="2"/>
      <scheme val="minor"/>
    </font>
  </fonts>
  <fills count="75">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patternFill>
    </fill>
    <fill>
      <patternFill patternType="solid">
        <fgColor indexed="17"/>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s>
  <borders count="4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double">
        <color indexed="64"/>
      </bottom>
      <diagonal/>
    </border>
    <border>
      <left/>
      <right/>
      <top/>
      <bottom style="double">
        <color auto="1"/>
      </bottom>
      <diagonal/>
    </border>
    <border>
      <left/>
      <right/>
      <top style="double">
        <color auto="1"/>
      </top>
      <bottom/>
      <diagonal/>
    </border>
  </borders>
  <cellStyleXfs count="11133">
    <xf numFmtId="0" fontId="0" fillId="0" borderId="0"/>
    <xf numFmtId="43" fontId="4" fillId="0" borderId="0" applyFont="0" applyFill="0" applyBorder="0" applyAlignment="0" applyProtection="0"/>
    <xf numFmtId="9" fontId="4" fillId="0" borderId="0" applyFont="0" applyFill="0" applyBorder="0" applyAlignment="0" applyProtection="0"/>
    <xf numFmtId="0" fontId="29" fillId="0" borderId="0">
      <alignment horizontal="left" vertical="center" indent="1"/>
    </xf>
    <xf numFmtId="0" fontId="31" fillId="0" borderId="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3" fillId="43" borderId="0" applyNumberFormat="0" applyBorder="0" applyAlignment="0" applyProtection="0"/>
    <xf numFmtId="0" fontId="3" fillId="30"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47" borderId="0" applyNumberFormat="0" applyBorder="0" applyAlignment="0" applyProtection="0"/>
    <xf numFmtId="0" fontId="3" fillId="19"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16"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3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20"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24"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28"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3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36"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36"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6"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13"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36"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17"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3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21"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36"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25"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7" fillId="29"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33"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36"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7"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7"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22" fillId="10" borderId="20"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9" fillId="44" borderId="27"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38" fillId="44" borderId="20"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40" fillId="58" borderId="28" applyNumberFormat="0" applyAlignment="0" applyProtection="0"/>
    <xf numFmtId="0" fontId="24" fillId="11" borderId="23" applyNumberFormat="0" applyAlignment="0" applyProtection="0"/>
    <xf numFmtId="0" fontId="40" fillId="58" borderId="28" applyNumberFormat="0" applyAlignment="0" applyProtection="0"/>
    <xf numFmtId="0" fontId="40" fillId="58" borderId="28" applyNumberFormat="0" applyAlignment="0" applyProtection="0"/>
    <xf numFmtId="0" fontId="41" fillId="59" borderId="0">
      <alignment horizontal="left"/>
    </xf>
    <xf numFmtId="0" fontId="42" fillId="59" borderId="0">
      <alignment horizontal="right"/>
    </xf>
    <xf numFmtId="0" fontId="43" fillId="60" borderId="0">
      <alignment horizontal="center"/>
    </xf>
    <xf numFmtId="0" fontId="42" fillId="59" borderId="0">
      <alignment horizontal="right"/>
    </xf>
    <xf numFmtId="0" fontId="44" fillId="60" borderId="0">
      <alignment horizontal="left"/>
    </xf>
    <xf numFmtId="43" fontId="4"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0" fontId="4" fillId="0" borderId="0"/>
    <xf numFmtId="43" fontId="45"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6"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14" fillId="0" borderId="17"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49" fillId="0" borderId="29"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15" fillId="0" borderId="18"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16" fillId="0" borderId="19"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9" borderId="20"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52" fillId="45" borderId="27"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20" fillId="44" borderId="20" applyNumberFormat="0" applyAlignment="0" applyProtection="0"/>
    <xf numFmtId="0" fontId="41" fillId="59" borderId="0">
      <alignment horizontal="left"/>
    </xf>
    <xf numFmtId="0" fontId="35" fillId="60" borderId="0">
      <alignment horizontal="left"/>
    </xf>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23" fillId="0" borderId="2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19" fillId="8"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5" fillId="61"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4" fillId="0" borderId="0"/>
    <xf numFmtId="0" fontId="3"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56" fillId="0" borderId="0"/>
    <xf numFmtId="0" fontId="4" fillId="0" borderId="0"/>
    <xf numFmtId="0" fontId="3" fillId="0" borderId="0"/>
    <xf numFmtId="0" fontId="3" fillId="0" borderId="0"/>
    <xf numFmtId="0" fontId="57"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3" fillId="0" borderId="0"/>
    <xf numFmtId="0" fontId="32"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8" fillId="0" borderId="0"/>
    <xf numFmtId="0" fontId="3" fillId="0" borderId="0"/>
    <xf numFmtId="0" fontId="3" fillId="0" borderId="0"/>
    <xf numFmtId="0" fontId="4"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 fillId="0" borderId="0"/>
    <xf numFmtId="0" fontId="3"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 fillId="0" borderId="0"/>
    <xf numFmtId="0" fontId="4"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 fillId="0" borderId="0"/>
    <xf numFmtId="0" fontId="3" fillId="0" borderId="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62" borderId="26"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33" fillId="12" borderId="24" applyNumberFormat="0" applyFon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44" borderId="21" applyNumberFormat="0" applyAlignment="0" applyProtection="0"/>
    <xf numFmtId="0" fontId="21" fillId="10" borderId="21"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21" fillId="44" borderId="21" applyNumberFormat="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59" fillId="44" borderId="33" applyNumberFormat="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0" fontId="60" fillId="0" borderId="21" applyNumberFormat="0" applyFill="0" applyAlignment="0" applyProtection="0"/>
    <xf numFmtId="40" fontId="61" fillId="63" borderId="0">
      <alignment horizontal="right"/>
    </xf>
    <xf numFmtId="0" fontId="62" fillId="64" borderId="0">
      <alignment horizontal="center"/>
    </xf>
    <xf numFmtId="0" fontId="63" fillId="63" borderId="11"/>
    <xf numFmtId="0" fontId="64" fillId="60" borderId="0" applyBorder="0">
      <alignment horizontal="centerContinuous"/>
    </xf>
    <xf numFmtId="0" fontId="65" fillId="65" borderId="0" applyBorder="0">
      <alignment horizontal="centerContinuous"/>
    </xf>
    <xf numFmtId="9" fontId="4" fillId="0" borderId="0" applyFont="0" applyFill="0" applyBorder="0" applyAlignment="0" applyProtection="0"/>
    <xf numFmtId="9" fontId="45" fillId="0" borderId="0" applyFont="0" applyFill="0" applyBorder="0" applyAlignment="0" applyProtection="0"/>
    <xf numFmtId="0" fontId="35" fillId="61" borderId="0">
      <alignment horizontal="center"/>
    </xf>
    <xf numFmtId="49" fontId="66" fillId="60" borderId="0">
      <alignment horizontal="center"/>
    </xf>
    <xf numFmtId="0" fontId="42" fillId="59" borderId="0">
      <alignment horizontal="center"/>
    </xf>
    <xf numFmtId="0" fontId="42" fillId="59" borderId="0">
      <alignment horizontal="centerContinuous"/>
    </xf>
    <xf numFmtId="0" fontId="67" fillId="60" borderId="0">
      <alignment horizontal="left"/>
    </xf>
    <xf numFmtId="49" fontId="67" fillId="60" borderId="0">
      <alignment horizontal="center"/>
    </xf>
    <xf numFmtId="0" fontId="41" fillId="59" borderId="0">
      <alignment horizontal="left"/>
    </xf>
    <xf numFmtId="49" fontId="67" fillId="60" borderId="0">
      <alignment horizontal="left"/>
    </xf>
    <xf numFmtId="0" fontId="41" fillId="59" borderId="0">
      <alignment horizontal="centerContinuous"/>
    </xf>
    <xf numFmtId="0" fontId="41" fillId="59" borderId="0">
      <alignment horizontal="right"/>
    </xf>
    <xf numFmtId="49" fontId="35" fillId="60" borderId="0">
      <alignment horizontal="left"/>
    </xf>
    <xf numFmtId="0" fontId="42" fillId="59" borderId="0">
      <alignment horizontal="right"/>
    </xf>
    <xf numFmtId="0" fontId="67" fillId="45" borderId="0">
      <alignment horizontal="center"/>
    </xf>
    <xf numFmtId="0" fontId="68" fillId="45" borderId="0">
      <alignment horizontal="center"/>
    </xf>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6" fillId="0" borderId="25" applyNumberFormat="0" applyFill="0" applyAlignment="0" applyProtection="0"/>
    <xf numFmtId="0" fontId="26" fillId="0" borderId="25"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4" fillId="0" borderId="34"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60" borderId="0">
      <alignment horizontal="center"/>
    </xf>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2" fillId="0" borderId="0" applyNumberFormat="0" applyFill="0" applyBorder="0" applyAlignment="0" applyProtection="0"/>
    <xf numFmtId="0" fontId="5" fillId="0" borderId="0"/>
    <xf numFmtId="43" fontId="5" fillId="0" borderId="0" applyFont="0" applyFill="0" applyBorder="0" applyAlignment="0" applyProtection="0"/>
    <xf numFmtId="0" fontId="75" fillId="0" borderId="0" applyNumberFormat="0" applyFill="0" applyBorder="0" applyAlignment="0" applyProtection="0">
      <alignment vertical="top"/>
      <protection locked="0"/>
    </xf>
    <xf numFmtId="9" fontId="5" fillId="0" borderId="0" applyFont="0" applyFill="0" applyBorder="0" applyAlignment="0" applyProtection="0"/>
    <xf numFmtId="0" fontId="76" fillId="0" borderId="0"/>
    <xf numFmtId="0" fontId="2" fillId="0" borderId="0"/>
    <xf numFmtId="44" fontId="90" fillId="0" borderId="0" applyFont="0" applyFill="0" applyBorder="0" applyAlignment="0" applyProtection="0"/>
    <xf numFmtId="9" fontId="1" fillId="0" borderId="0" applyFont="0" applyFill="0" applyBorder="0" applyAlignment="0" applyProtection="0"/>
  </cellStyleXfs>
  <cellXfs count="878">
    <xf numFmtId="0" fontId="0" fillId="0" borderId="0" xfId="0"/>
    <xf numFmtId="0" fontId="7" fillId="0" borderId="0" xfId="0" applyFont="1" applyAlignment="1">
      <alignment vertical="center"/>
    </xf>
    <xf numFmtId="0" fontId="4" fillId="0" borderId="0" xfId="0" applyFont="1"/>
    <xf numFmtId="0" fontId="0" fillId="66" borderId="0" xfId="0" applyFill="1"/>
    <xf numFmtId="0" fontId="30" fillId="0" borderId="0" xfId="0" applyFont="1" applyAlignment="1">
      <alignment horizontal="left"/>
    </xf>
    <xf numFmtId="0" fontId="0" fillId="0" borderId="0" xfId="0" applyAlignment="1">
      <alignment wrapText="1"/>
    </xf>
    <xf numFmtId="0" fontId="0" fillId="66" borderId="0" xfId="0" applyFill="1" applyAlignment="1">
      <alignment wrapText="1"/>
    </xf>
    <xf numFmtId="0" fontId="8" fillId="0" borderId="12" xfId="0" applyFont="1" applyBorder="1" applyAlignment="1">
      <alignment horizontal="center" vertical="center"/>
    </xf>
    <xf numFmtId="0" fontId="28" fillId="0" borderId="0" xfId="0" applyFont="1" applyAlignment="1">
      <alignment vertical="top"/>
    </xf>
    <xf numFmtId="0" fontId="0" fillId="0" borderId="36" xfId="0" applyBorder="1"/>
    <xf numFmtId="0" fontId="0" fillId="0" borderId="37" xfId="0" applyBorder="1"/>
    <xf numFmtId="0" fontId="0" fillId="0" borderId="38" xfId="0" applyBorder="1"/>
    <xf numFmtId="0" fontId="0" fillId="0" borderId="39" xfId="0" applyBorder="1"/>
    <xf numFmtId="0" fontId="73" fillId="0" borderId="0" xfId="0" applyFont="1" applyFill="1" applyBorder="1"/>
    <xf numFmtId="0" fontId="58" fillId="66" borderId="0" xfId="0" applyFont="1" applyFill="1" applyBorder="1" applyAlignment="1">
      <alignment horizontal="left"/>
    </xf>
    <xf numFmtId="0" fontId="0" fillId="0" borderId="0" xfId="0" applyBorder="1"/>
    <xf numFmtId="0" fontId="0" fillId="0" borderId="40" xfId="0" applyBorder="1"/>
    <xf numFmtId="0" fontId="58" fillId="0" borderId="0" xfId="0" applyFont="1" applyBorder="1"/>
    <xf numFmtId="0" fontId="58" fillId="0" borderId="0" xfId="0" applyFont="1" applyBorder="1" applyAlignment="1">
      <alignment horizontal="left"/>
    </xf>
    <xf numFmtId="0" fontId="58" fillId="0" borderId="0" xfId="0" applyFont="1" applyFill="1" applyBorder="1"/>
    <xf numFmtId="0" fontId="0" fillId="0" borderId="41" xfId="0" applyBorder="1"/>
    <xf numFmtId="0" fontId="0" fillId="0" borderId="42" xfId="0" applyBorder="1"/>
    <xf numFmtId="0" fontId="87" fillId="0" borderId="0" xfId="3" applyFont="1" applyAlignment="1">
      <alignment horizontal="left" vertical="top"/>
    </xf>
    <xf numFmtId="0" fontId="0" fillId="0" borderId="0" xfId="0" applyAlignment="1"/>
    <xf numFmtId="0" fontId="87" fillId="0" borderId="0" xfId="3" applyFont="1" applyAlignment="1">
      <alignment horizontal="left"/>
    </xf>
    <xf numFmtId="0" fontId="0" fillId="66" borderId="0" xfId="0" applyFill="1" applyAlignment="1"/>
    <xf numFmtId="0" fontId="88" fillId="0" borderId="0" xfId="0" applyFont="1"/>
    <xf numFmtId="0" fontId="73" fillId="0" borderId="0" xfId="3" applyFont="1" applyAlignment="1">
      <alignment horizontal="left" vertical="top"/>
    </xf>
    <xf numFmtId="0" fontId="58" fillId="0" borderId="0" xfId="3" applyFont="1" applyAlignment="1">
      <alignment horizontal="left" vertical="top"/>
    </xf>
    <xf numFmtId="0" fontId="30" fillId="0" borderId="0" xfId="0" applyFont="1" applyAlignment="1">
      <alignment vertical="top"/>
    </xf>
    <xf numFmtId="0" fontId="89" fillId="0" borderId="0" xfId="0" applyFont="1"/>
    <xf numFmtId="0" fontId="0" fillId="38" borderId="0" xfId="0" applyFont="1" applyFill="1" applyAlignment="1">
      <alignment wrapText="1"/>
    </xf>
    <xf numFmtId="0" fontId="7" fillId="37" borderId="0" xfId="0" applyFont="1" applyFill="1" applyAlignment="1">
      <alignment vertical="center"/>
    </xf>
    <xf numFmtId="0" fontId="4" fillId="0" borderId="0" xfId="0" applyFont="1" applyAlignment="1">
      <alignment horizontal="right"/>
    </xf>
    <xf numFmtId="0" fontId="28" fillId="0" borderId="0" xfId="0" applyFont="1" applyAlignment="1">
      <alignment wrapText="1"/>
    </xf>
    <xf numFmtId="0" fontId="88" fillId="0" borderId="0" xfId="0" applyFont="1" applyAlignment="1">
      <alignment horizontal="right" wrapText="1"/>
    </xf>
    <xf numFmtId="0" fontId="0" fillId="0" borderId="0" xfId="0" applyAlignment="1">
      <alignment horizontal="center"/>
    </xf>
    <xf numFmtId="0" fontId="0" fillId="37" borderId="0" xfId="0" applyFill="1"/>
    <xf numFmtId="0" fontId="0" fillId="37" borderId="0" xfId="0" applyFill="1" applyAlignment="1"/>
    <xf numFmtId="0" fontId="0" fillId="37" borderId="0" xfId="0" applyFill="1" applyAlignment="1">
      <alignment horizontal="center"/>
    </xf>
    <xf numFmtId="0" fontId="5" fillId="37" borderId="0" xfId="0" applyFont="1" applyFill="1" applyAlignment="1">
      <alignment horizontal="center" wrapText="1"/>
    </xf>
    <xf numFmtId="0" fontId="28" fillId="0" borderId="0" xfId="3" applyFont="1" applyAlignment="1">
      <alignment horizontal="left" vertical="top"/>
    </xf>
    <xf numFmtId="0" fontId="0" fillId="37" borderId="0" xfId="0" applyFill="1" applyAlignment="1">
      <alignment horizontal="center" vertical="top"/>
    </xf>
    <xf numFmtId="0" fontId="0" fillId="38" borderId="0" xfId="0" applyFill="1" applyAlignment="1"/>
    <xf numFmtId="0" fontId="7" fillId="37" borderId="0" xfId="0" applyFont="1" applyFill="1" applyAlignment="1">
      <alignment horizontal="center" vertical="center"/>
    </xf>
    <xf numFmtId="0" fontId="10" fillId="37" borderId="0" xfId="0" applyFont="1" applyFill="1" applyAlignment="1">
      <alignment horizontal="center" vertical="center"/>
    </xf>
    <xf numFmtId="0" fontId="7" fillId="0" borderId="0" xfId="0" applyFont="1" applyBorder="1" applyAlignment="1">
      <alignment horizontal="centerContinuous" vertical="center"/>
    </xf>
    <xf numFmtId="0" fontId="7" fillId="37" borderId="0" xfId="0" applyFont="1" applyFill="1" applyBorder="1" applyAlignment="1">
      <alignment horizontal="center" vertical="center"/>
    </xf>
    <xf numFmtId="0" fontId="7" fillId="37" borderId="0" xfId="0" applyFont="1" applyFill="1" applyBorder="1" applyAlignment="1">
      <alignment vertical="center"/>
    </xf>
    <xf numFmtId="0" fontId="7" fillId="3" borderId="6" xfId="0" applyFont="1" applyFill="1" applyBorder="1" applyAlignment="1">
      <alignment horizontal="left" vertical="center"/>
    </xf>
    <xf numFmtId="0" fontId="7" fillId="0" borderId="0" xfId="0" applyFont="1" applyFill="1" applyAlignment="1">
      <alignment vertical="center"/>
    </xf>
    <xf numFmtId="0" fontId="7" fillId="2" borderId="0" xfId="0"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Alignment="1">
      <alignment vertical="center"/>
    </xf>
    <xf numFmtId="0" fontId="6" fillId="3" borderId="6" xfId="0" applyFont="1" applyFill="1" applyBorder="1" applyAlignment="1">
      <alignment horizontal="left" vertical="center"/>
    </xf>
    <xf numFmtId="0" fontId="7" fillId="0" borderId="0" xfId="0" applyFont="1" applyBorder="1" applyAlignment="1">
      <alignment vertical="center"/>
    </xf>
    <xf numFmtId="0" fontId="7" fillId="0" borderId="0" xfId="0" applyFont="1" applyAlignment="1">
      <alignment horizontal="left" vertical="center"/>
    </xf>
    <xf numFmtId="2" fontId="7" fillId="0" borderId="0" xfId="0" applyNumberFormat="1" applyFont="1" applyAlignment="1">
      <alignment vertical="center"/>
    </xf>
    <xf numFmtId="1" fontId="6" fillId="3" borderId="15" xfId="0" applyNumberFormat="1" applyFont="1" applyFill="1" applyBorder="1" applyAlignment="1">
      <alignment horizontal="center" vertical="center"/>
    </xf>
    <xf numFmtId="0" fontId="10" fillId="37" borderId="0" xfId="0" applyFont="1" applyFill="1" applyAlignment="1">
      <alignment vertical="center"/>
    </xf>
    <xf numFmtId="0" fontId="6" fillId="0" borderId="0" xfId="0" applyFont="1" applyBorder="1" applyAlignment="1">
      <alignment horizontal="centerContinuous" vertical="center"/>
    </xf>
    <xf numFmtId="0" fontId="10" fillId="0" borderId="0" xfId="0" applyFont="1" applyAlignment="1">
      <alignment vertical="center"/>
    </xf>
    <xf numFmtId="0" fontId="7" fillId="37" borderId="0" xfId="0" applyFont="1" applyFill="1" applyAlignment="1">
      <alignment horizontal="left" vertical="center"/>
    </xf>
    <xf numFmtId="0" fontId="6" fillId="0" borderId="0" xfId="0" applyFont="1" applyAlignment="1">
      <alignment horizontal="centerContinuous" vertical="center"/>
    </xf>
    <xf numFmtId="0" fontId="6" fillId="0" borderId="0" xfId="0" applyFont="1" applyFill="1" applyBorder="1" applyAlignment="1">
      <alignment horizontal="left" vertical="center"/>
    </xf>
    <xf numFmtId="3" fontId="6" fillId="2" borderId="0" xfId="0" applyNumberFormat="1" applyFont="1" applyFill="1" applyBorder="1" applyAlignment="1">
      <alignment horizontal="center" vertical="center"/>
    </xf>
    <xf numFmtId="0" fontId="92" fillId="0" borderId="8" xfId="0" applyFont="1" applyFill="1" applyBorder="1" applyAlignment="1">
      <alignment horizontal="left" vertical="center"/>
    </xf>
    <xf numFmtId="164" fontId="92" fillId="0" borderId="2" xfId="0" applyNumberFormat="1" applyFont="1" applyFill="1" applyBorder="1" applyAlignment="1">
      <alignment horizontal="center" vertical="center"/>
    </xf>
    <xf numFmtId="164" fontId="92" fillId="0" borderId="2" xfId="0" quotePrefix="1" applyNumberFormat="1" applyFont="1" applyFill="1" applyBorder="1" applyAlignment="1">
      <alignment horizontal="center" vertical="center"/>
    </xf>
    <xf numFmtId="0" fontId="92" fillId="0" borderId="6" xfId="0" applyFont="1" applyFill="1" applyBorder="1" applyAlignment="1">
      <alignment horizontal="left" vertical="center"/>
    </xf>
    <xf numFmtId="164" fontId="92" fillId="0" borderId="16" xfId="0" applyNumberFormat="1" applyFont="1" applyFill="1" applyBorder="1" applyAlignment="1">
      <alignment horizontal="center" vertical="center"/>
    </xf>
    <xf numFmtId="0" fontId="92" fillId="0" borderId="2" xfId="0" applyFont="1" applyFill="1" applyBorder="1" applyAlignment="1">
      <alignment horizontal="left" vertical="center"/>
    </xf>
    <xf numFmtId="164" fontId="92" fillId="0" borderId="2" xfId="0" applyNumberFormat="1" applyFont="1" applyBorder="1" applyAlignment="1">
      <alignment horizontal="center" vertical="center"/>
    </xf>
    <xf numFmtId="0" fontId="92" fillId="0" borderId="4" xfId="0" applyFont="1" applyFill="1" applyBorder="1" applyAlignment="1">
      <alignment horizontal="left" vertical="center"/>
    </xf>
    <xf numFmtId="3" fontId="92" fillId="0" borderId="2" xfId="0" applyNumberFormat="1" applyFont="1" applyBorder="1" applyAlignment="1">
      <alignment horizontal="center" vertical="center"/>
    </xf>
    <xf numFmtId="164" fontId="92" fillId="0" borderId="10" xfId="0" applyNumberFormat="1" applyFont="1" applyBorder="1" applyAlignment="1">
      <alignment horizontal="center" vertical="center"/>
    </xf>
    <xf numFmtId="3" fontId="92" fillId="0" borderId="10" xfId="0" applyNumberFormat="1" applyFont="1" applyBorder="1" applyAlignment="1">
      <alignment horizontal="center" vertical="center"/>
    </xf>
    <xf numFmtId="3" fontId="92" fillId="0" borderId="10" xfId="0" applyNumberFormat="1" applyFont="1" applyFill="1" applyBorder="1" applyAlignment="1">
      <alignment horizontal="center" vertical="center"/>
    </xf>
    <xf numFmtId="3" fontId="92" fillId="0" borderId="2" xfId="0" applyNumberFormat="1" applyFont="1" applyFill="1" applyBorder="1" applyAlignment="1">
      <alignment horizontal="center" vertical="center"/>
    </xf>
    <xf numFmtId="0" fontId="92" fillId="0" borderId="12" xfId="0" applyFont="1" applyFill="1" applyBorder="1" applyAlignment="1">
      <alignment horizontal="left" vertical="center"/>
    </xf>
    <xf numFmtId="164" fontId="92" fillId="0" borderId="0" xfId="0" applyNumberFormat="1" applyFont="1" applyFill="1" applyBorder="1" applyAlignment="1">
      <alignment horizontal="center" vertical="center"/>
    </xf>
    <xf numFmtId="164" fontId="92" fillId="0" borderId="4" xfId="0" applyNumberFormat="1" applyFont="1" applyFill="1" applyBorder="1" applyAlignment="1">
      <alignment horizontal="center" vertical="center"/>
    </xf>
    <xf numFmtId="3" fontId="92" fillId="2" borderId="2" xfId="0" applyNumberFormat="1" applyFont="1" applyFill="1" applyBorder="1" applyAlignment="1">
      <alignment horizontal="center" vertical="center"/>
    </xf>
    <xf numFmtId="3" fontId="92" fillId="0" borderId="4" xfId="0" applyNumberFormat="1" applyFont="1" applyBorder="1" applyAlignment="1">
      <alignment horizontal="center" vertical="center"/>
    </xf>
    <xf numFmtId="3" fontId="91" fillId="0" borderId="5" xfId="0" applyNumberFormat="1" applyFont="1" applyFill="1" applyBorder="1" applyAlignment="1">
      <alignment horizontal="center" vertical="center"/>
    </xf>
    <xf numFmtId="3" fontId="91" fillId="0" borderId="7" xfId="0" applyNumberFormat="1" applyFont="1" applyFill="1" applyBorder="1" applyAlignment="1">
      <alignment horizontal="center" vertical="center"/>
    </xf>
    <xf numFmtId="0" fontId="92" fillId="0" borderId="4" xfId="0" applyFont="1" applyFill="1" applyBorder="1" applyAlignment="1">
      <alignment horizontal="left" vertical="center" wrapText="1"/>
    </xf>
    <xf numFmtId="0" fontId="92" fillId="0" borderId="2" xfId="0" applyFont="1" applyFill="1" applyBorder="1" applyAlignment="1">
      <alignment horizontal="left" vertical="center" wrapText="1"/>
    </xf>
    <xf numFmtId="164" fontId="92" fillId="0" borderId="1" xfId="0" applyNumberFormat="1" applyFont="1" applyFill="1" applyBorder="1" applyAlignment="1">
      <alignment horizontal="center" vertical="center"/>
    </xf>
    <xf numFmtId="0" fontId="91" fillId="5" borderId="2" xfId="0" applyFont="1" applyFill="1" applyBorder="1" applyAlignment="1">
      <alignment horizontal="left" vertical="center"/>
    </xf>
    <xf numFmtId="3" fontId="91" fillId="5" borderId="2" xfId="0" applyNumberFormat="1" applyFont="1" applyFill="1" applyBorder="1" applyAlignment="1">
      <alignment horizontal="center" vertical="center"/>
    </xf>
    <xf numFmtId="0" fontId="91" fillId="5" borderId="1" xfId="0" applyFont="1" applyFill="1" applyBorder="1" applyAlignment="1">
      <alignment horizontal="left" vertical="center"/>
    </xf>
    <xf numFmtId="3" fontId="91" fillId="5" borderId="1" xfId="0" applyNumberFormat="1" applyFont="1" applyFill="1" applyBorder="1" applyAlignment="1">
      <alignment horizontal="center" vertical="center"/>
    </xf>
    <xf numFmtId="0" fontId="91" fillId="3" borderId="2" xfId="0" applyFont="1" applyFill="1" applyBorder="1" applyAlignment="1">
      <alignment horizontal="center" vertical="center" wrapText="1"/>
    </xf>
    <xf numFmtId="164" fontId="91" fillId="0" borderId="2" xfId="0" applyNumberFormat="1" applyFont="1" applyBorder="1" applyAlignment="1">
      <alignment horizontal="center" vertical="center"/>
    </xf>
    <xf numFmtId="164" fontId="92" fillId="0" borderId="4" xfId="0" applyNumberFormat="1" applyFont="1" applyBorder="1" applyAlignment="1">
      <alignment horizontal="center" vertical="center"/>
    </xf>
    <xf numFmtId="3" fontId="92" fillId="5" borderId="2" xfId="0" applyNumberFormat="1" applyFont="1" applyFill="1" applyBorder="1" applyAlignment="1">
      <alignment horizontal="center" vertical="center"/>
    </xf>
    <xf numFmtId="3" fontId="92" fillId="2" borderId="16" xfId="0" applyNumberFormat="1" applyFont="1" applyFill="1" applyBorder="1" applyAlignment="1">
      <alignment horizontal="center" vertical="center"/>
    </xf>
    <xf numFmtId="164" fontId="92" fillId="0" borderId="16" xfId="0" applyNumberFormat="1" applyFont="1" applyBorder="1" applyAlignment="1">
      <alignment horizontal="center" vertical="center"/>
    </xf>
    <xf numFmtId="0" fontId="92" fillId="0" borderId="16" xfId="0" applyFont="1" applyFill="1" applyBorder="1" applyAlignment="1">
      <alignment horizontal="left" vertical="center"/>
    </xf>
    <xf numFmtId="164" fontId="92" fillId="0" borderId="12" xfId="0" applyNumberFormat="1" applyFont="1" applyFill="1" applyBorder="1" applyAlignment="1">
      <alignment horizontal="center" vertical="center"/>
    </xf>
    <xf numFmtId="0" fontId="92" fillId="0" borderId="2" xfId="0" applyFont="1" applyFill="1" applyBorder="1" applyAlignment="1">
      <alignment vertical="center"/>
    </xf>
    <xf numFmtId="0" fontId="92" fillId="0" borderId="0" xfId="0" applyFont="1" applyFill="1" applyBorder="1" applyAlignment="1">
      <alignment vertical="center"/>
    </xf>
    <xf numFmtId="3" fontId="92" fillId="0" borderId="2" xfId="0" applyNumberFormat="1" applyFont="1" applyFill="1" applyBorder="1" applyAlignment="1">
      <alignment horizontal="center" vertical="center" wrapText="1"/>
    </xf>
    <xf numFmtId="0" fontId="91" fillId="5" borderId="4" xfId="0" applyFont="1" applyFill="1" applyBorder="1" applyAlignment="1">
      <alignment vertical="center" wrapText="1"/>
    </xf>
    <xf numFmtId="0" fontId="92" fillId="0" borderId="4" xfId="0" applyFont="1" applyFill="1" applyBorder="1" applyAlignment="1">
      <alignment horizontal="left" vertical="center" indent="1"/>
    </xf>
    <xf numFmtId="0" fontId="91" fillId="3" borderId="6" xfId="0" applyFont="1" applyFill="1" applyBorder="1" applyAlignment="1">
      <alignment horizontal="left" vertical="center" wrapText="1"/>
    </xf>
    <xf numFmtId="3" fontId="92" fillId="0" borderId="16" xfId="0" applyNumberFormat="1" applyFont="1" applyBorder="1" applyAlignment="1">
      <alignment horizontal="center" vertical="center"/>
    </xf>
    <xf numFmtId="3" fontId="92" fillId="0" borderId="16" xfId="0" applyNumberFormat="1" applyFont="1" applyFill="1" applyBorder="1" applyAlignment="1">
      <alignment horizontal="center" vertical="center"/>
    </xf>
    <xf numFmtId="164" fontId="92" fillId="0" borderId="1" xfId="0" applyNumberFormat="1" applyFont="1" applyBorder="1" applyAlignment="1">
      <alignment horizontal="center" vertical="center"/>
    </xf>
    <xf numFmtId="9" fontId="92" fillId="0" borderId="1" xfId="2" applyFont="1" applyBorder="1" applyAlignment="1">
      <alignment horizontal="center" vertical="center"/>
    </xf>
    <xf numFmtId="1" fontId="92" fillId="0" borderId="1" xfId="0" applyNumberFormat="1" applyFont="1" applyBorder="1" applyAlignment="1">
      <alignment horizontal="center" vertical="center"/>
    </xf>
    <xf numFmtId="3" fontId="92" fillId="0" borderId="1" xfId="0" applyNumberFormat="1" applyFont="1" applyBorder="1" applyAlignment="1">
      <alignment horizontal="center" vertical="center"/>
    </xf>
    <xf numFmtId="0" fontId="92" fillId="0" borderId="0" xfId="0" applyFont="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wrapText="1"/>
    </xf>
    <xf numFmtId="0" fontId="91" fillId="0" borderId="0" xfId="0" applyFont="1" applyFill="1" applyAlignment="1">
      <alignment horizontal="left" vertical="center"/>
    </xf>
    <xf numFmtId="0" fontId="91" fillId="0" borderId="0" xfId="0" applyFont="1" applyFill="1" applyAlignment="1">
      <alignment horizontal="center" vertical="center"/>
    </xf>
    <xf numFmtId="0" fontId="97" fillId="0" borderId="0" xfId="0" applyFont="1" applyFill="1" applyAlignment="1">
      <alignment horizontal="center" vertical="center"/>
    </xf>
    <xf numFmtId="0" fontId="91" fillId="0" borderId="0" xfId="0" applyFont="1" applyFill="1" applyAlignment="1">
      <alignment vertical="center"/>
    </xf>
    <xf numFmtId="0" fontId="92" fillId="0" borderId="0" xfId="0" applyFont="1" applyBorder="1" applyAlignment="1">
      <alignment horizontal="left" vertical="center"/>
    </xf>
    <xf numFmtId="0" fontId="92" fillId="0" borderId="0" xfId="0" applyFont="1" applyAlignment="1">
      <alignment horizontal="center" vertical="center"/>
    </xf>
    <xf numFmtId="0" fontId="94" fillId="0" borderId="0" xfId="0" applyFont="1" applyAlignment="1">
      <alignment horizontal="center" vertical="center"/>
    </xf>
    <xf numFmtId="0" fontId="92" fillId="0" borderId="0" xfId="0" applyFont="1" applyFill="1" applyAlignment="1">
      <alignment vertical="center"/>
    </xf>
    <xf numFmtId="3" fontId="92" fillId="5" borderId="16" xfId="0" applyNumberFormat="1" applyFont="1" applyFill="1" applyBorder="1" applyAlignment="1">
      <alignment horizontal="center" vertical="center"/>
    </xf>
    <xf numFmtId="164" fontId="92" fillId="5" borderId="16" xfId="0" applyNumberFormat="1" applyFont="1" applyFill="1" applyBorder="1" applyAlignment="1">
      <alignment horizontal="center" vertical="center"/>
    </xf>
    <xf numFmtId="3" fontId="92" fillId="5" borderId="15" xfId="0" applyNumberFormat="1" applyFont="1" applyFill="1" applyBorder="1" applyAlignment="1">
      <alignment horizontal="center" vertical="center"/>
    </xf>
    <xf numFmtId="9" fontId="7" fillId="0" borderId="0" xfId="0" applyNumberFormat="1" applyFont="1" applyAlignment="1">
      <alignment vertical="center"/>
    </xf>
    <xf numFmtId="0" fontId="92" fillId="0" borderId="16" xfId="0" applyFont="1" applyFill="1" applyBorder="1" applyAlignment="1">
      <alignment horizontal="left" vertical="center" wrapText="1"/>
    </xf>
    <xf numFmtId="0" fontId="91" fillId="0" borderId="2" xfId="0" applyFont="1" applyFill="1" applyBorder="1" applyAlignment="1">
      <alignment horizontal="left" vertical="center" wrapText="1"/>
    </xf>
    <xf numFmtId="3" fontId="92" fillId="0" borderId="2" xfId="0" applyNumberFormat="1" applyFont="1" applyFill="1" applyBorder="1" applyAlignment="1" applyProtection="1">
      <alignment horizontal="center" vertical="center"/>
    </xf>
    <xf numFmtId="3" fontId="91" fillId="0" borderId="1" xfId="0" applyNumberFormat="1" applyFont="1" applyFill="1" applyBorder="1" applyAlignment="1">
      <alignment horizontal="center" vertical="center" wrapText="1"/>
    </xf>
    <xf numFmtId="0" fontId="92" fillId="0" borderId="0" xfId="0" applyFont="1" applyAlignment="1">
      <alignment horizontal="left" vertical="center"/>
    </xf>
    <xf numFmtId="0" fontId="92" fillId="0" borderId="2" xfId="0" applyFont="1" applyFill="1" applyBorder="1" applyAlignment="1">
      <alignment horizontal="left" vertical="center" wrapText="1" indent="1"/>
    </xf>
    <xf numFmtId="0" fontId="92" fillId="0" borderId="4" xfId="0" applyFont="1" applyFill="1" applyBorder="1" applyAlignment="1">
      <alignment horizontal="left" vertical="center" wrapText="1" indent="1"/>
    </xf>
    <xf numFmtId="0" fontId="91" fillId="68" borderId="2" xfId="0" applyFont="1" applyFill="1" applyBorder="1" applyAlignment="1">
      <alignment horizontal="left" vertical="center" wrapText="1"/>
    </xf>
    <xf numFmtId="3" fontId="91" fillId="68" borderId="2" xfId="0" applyNumberFormat="1" applyFont="1" applyFill="1" applyBorder="1" applyAlignment="1">
      <alignment horizontal="center" vertical="center"/>
    </xf>
    <xf numFmtId="3" fontId="91" fillId="68" borderId="1" xfId="0" applyNumberFormat="1" applyFont="1" applyFill="1" applyBorder="1" applyAlignment="1">
      <alignment horizontal="center" vertical="center"/>
    </xf>
    <xf numFmtId="3" fontId="91" fillId="68" borderId="1" xfId="0" applyNumberFormat="1" applyFont="1" applyFill="1" applyBorder="1" applyAlignment="1">
      <alignment horizontal="center" vertical="center" wrapText="1"/>
    </xf>
    <xf numFmtId="0" fontId="92" fillId="5" borderId="2" xfId="0" applyFont="1" applyFill="1" applyBorder="1" applyAlignment="1">
      <alignment horizontal="left" vertical="center" wrapText="1"/>
    </xf>
    <xf numFmtId="3" fontId="92" fillId="5" borderId="2" xfId="0" applyNumberFormat="1" applyFont="1" applyFill="1" applyBorder="1" applyAlignment="1" applyProtection="1">
      <alignment horizontal="center" vertical="center"/>
    </xf>
    <xf numFmtId="0" fontId="92" fillId="5" borderId="2" xfId="0" applyFont="1" applyFill="1" applyBorder="1" applyAlignment="1">
      <alignment horizontal="left" vertical="center" wrapText="1" indent="1"/>
    </xf>
    <xf numFmtId="164" fontId="92" fillId="5" borderId="2" xfId="0" applyNumberFormat="1" applyFont="1" applyFill="1" applyBorder="1" applyAlignment="1">
      <alignment horizontal="center" vertical="center"/>
    </xf>
    <xf numFmtId="164" fontId="92" fillId="0" borderId="6" xfId="0" quotePrefix="1" applyNumberFormat="1" applyFont="1" applyFill="1" applyBorder="1" applyAlignment="1">
      <alignment horizontal="center" vertical="center"/>
    </xf>
    <xf numFmtId="0" fontId="92" fillId="0" borderId="15" xfId="0" applyFont="1" applyFill="1" applyBorder="1" applyAlignment="1">
      <alignment horizontal="left" vertical="center" wrapText="1"/>
    </xf>
    <xf numFmtId="3" fontId="92" fillId="2" borderId="2" xfId="0" applyNumberFormat="1" applyFont="1" applyFill="1" applyBorder="1" applyAlignment="1">
      <alignment horizontal="center" vertical="center" wrapText="1"/>
    </xf>
    <xf numFmtId="3" fontId="91" fillId="2" borderId="1" xfId="0" applyNumberFormat="1" applyFont="1" applyFill="1" applyBorder="1" applyAlignment="1">
      <alignment horizontal="center" vertical="center" wrapText="1"/>
    </xf>
    <xf numFmtId="164" fontId="91" fillId="0" borderId="1" xfId="0" applyNumberFormat="1" applyFont="1" applyBorder="1" applyAlignment="1">
      <alignment horizontal="center" vertical="center"/>
    </xf>
    <xf numFmtId="0" fontId="91" fillId="0" borderId="1" xfId="0" applyFont="1" applyFill="1" applyBorder="1" applyAlignment="1">
      <alignment horizontal="left" vertical="center" wrapText="1"/>
    </xf>
    <xf numFmtId="0" fontId="92" fillId="0" borderId="0" xfId="0" applyFont="1" applyBorder="1" applyAlignment="1">
      <alignment vertical="center"/>
    </xf>
    <xf numFmtId="164" fontId="92" fillId="0" borderId="6" xfId="0" applyNumberFormat="1" applyFont="1" applyBorder="1" applyAlignment="1">
      <alignment horizontal="center" vertical="center"/>
    </xf>
    <xf numFmtId="164" fontId="91" fillId="0" borderId="16" xfId="0" applyNumberFormat="1" applyFont="1" applyBorder="1" applyAlignment="1">
      <alignment horizontal="center" vertical="center"/>
    </xf>
    <xf numFmtId="0" fontId="91" fillId="0" borderId="16" xfId="0" applyFont="1" applyFill="1" applyBorder="1" applyAlignment="1">
      <alignment horizontal="left" vertical="center" wrapText="1"/>
    </xf>
    <xf numFmtId="0" fontId="92" fillId="0" borderId="1" xfId="0" applyFont="1" applyFill="1" applyBorder="1" applyAlignment="1">
      <alignment horizontal="left" vertical="center" wrapText="1"/>
    </xf>
    <xf numFmtId="0" fontId="6" fillId="37" borderId="0" xfId="0" applyFont="1" applyFill="1" applyAlignment="1">
      <alignment vertical="center"/>
    </xf>
    <xf numFmtId="0" fontId="6" fillId="37" borderId="0" xfId="0" applyFont="1" applyFill="1" applyAlignment="1">
      <alignment horizontal="center" vertical="center"/>
    </xf>
    <xf numFmtId="3" fontId="92" fillId="2" borderId="16" xfId="0" applyNumberFormat="1" applyFont="1" applyFill="1" applyBorder="1" applyAlignment="1">
      <alignment horizontal="center" vertical="center" wrapText="1"/>
    </xf>
    <xf numFmtId="3" fontId="92" fillId="2" borderId="1" xfId="0" applyNumberFormat="1" applyFont="1" applyFill="1" applyBorder="1" applyAlignment="1">
      <alignment horizontal="center" vertical="center" wrapText="1"/>
    </xf>
    <xf numFmtId="3" fontId="91" fillId="2" borderId="16" xfId="0" applyNumberFormat="1" applyFont="1" applyFill="1" applyBorder="1" applyAlignment="1">
      <alignment horizontal="center" vertical="center" wrapText="1"/>
    </xf>
    <xf numFmtId="164" fontId="92" fillId="0" borderId="16" xfId="0" applyNumberFormat="1" applyFont="1" applyFill="1" applyBorder="1" applyAlignment="1">
      <alignment horizontal="center" vertical="center" wrapText="1"/>
    </xf>
    <xf numFmtId="164" fontId="91" fillId="0" borderId="12" xfId="0" applyNumberFormat="1" applyFont="1" applyBorder="1" applyAlignment="1">
      <alignment horizontal="center" vertical="center"/>
    </xf>
    <xf numFmtId="0" fontId="92" fillId="0" borderId="2" xfId="0" applyFont="1" applyFill="1" applyBorder="1" applyAlignment="1">
      <alignment horizontal="center" vertical="center"/>
    </xf>
    <xf numFmtId="0" fontId="92" fillId="0" borderId="16" xfId="0" applyFont="1" applyFill="1" applyBorder="1" applyAlignment="1">
      <alignment horizontal="center" vertical="center"/>
    </xf>
    <xf numFmtId="3" fontId="92" fillId="0" borderId="1" xfId="0" applyNumberFormat="1" applyFont="1" applyFill="1" applyBorder="1" applyAlignment="1">
      <alignment horizontal="center" vertical="center" wrapText="1"/>
    </xf>
    <xf numFmtId="0" fontId="92" fillId="0" borderId="10" xfId="0" applyFont="1" applyBorder="1" applyAlignment="1">
      <alignment vertical="center"/>
    </xf>
    <xf numFmtId="164" fontId="91" fillId="0" borderId="4" xfId="0" applyNumberFormat="1" applyFont="1" applyBorder="1" applyAlignment="1">
      <alignment horizontal="center" vertical="center"/>
    </xf>
    <xf numFmtId="3" fontId="92" fillId="0" borderId="6" xfId="0" applyNumberFormat="1" applyFont="1" applyFill="1" applyBorder="1" applyAlignment="1">
      <alignment horizontal="center" vertical="center" wrapText="1"/>
    </xf>
    <xf numFmtId="3" fontId="91" fillId="0" borderId="1" xfId="0" applyNumberFormat="1" applyFont="1" applyBorder="1" applyAlignment="1">
      <alignment horizontal="center" vertical="center"/>
    </xf>
    <xf numFmtId="3" fontId="91" fillId="0" borderId="10" xfId="0" applyNumberFormat="1" applyFont="1" applyFill="1" applyBorder="1" applyAlignment="1">
      <alignment horizontal="center" vertical="center" wrapText="1"/>
    </xf>
    <xf numFmtId="3" fontId="92" fillId="0" borderId="10" xfId="0" applyNumberFormat="1" applyFont="1" applyFill="1" applyBorder="1" applyAlignment="1">
      <alignment horizontal="center" vertical="center" wrapText="1"/>
    </xf>
    <xf numFmtId="0" fontId="92" fillId="0" borderId="16" xfId="0" applyFont="1" applyFill="1" applyBorder="1" applyAlignment="1">
      <alignment vertical="center"/>
    </xf>
    <xf numFmtId="0" fontId="92" fillId="0" borderId="16" xfId="0" applyFont="1" applyBorder="1" applyAlignment="1">
      <alignment vertical="center"/>
    </xf>
    <xf numFmtId="0" fontId="92" fillId="0" borderId="15" xfId="0" applyFont="1" applyBorder="1" applyAlignment="1">
      <alignment vertical="center"/>
    </xf>
    <xf numFmtId="3" fontId="92" fillId="0" borderId="16" xfId="0" applyNumberFormat="1" applyFont="1" applyFill="1" applyBorder="1" applyAlignment="1" applyProtection="1">
      <alignment horizontal="center" vertical="center"/>
    </xf>
    <xf numFmtId="0" fontId="91" fillId="5" borderId="2" xfId="0" applyFont="1" applyFill="1" applyBorder="1" applyAlignment="1">
      <alignment horizontal="left" vertical="center" wrapText="1"/>
    </xf>
    <xf numFmtId="3" fontId="91" fillId="5" borderId="2" xfId="0" applyNumberFormat="1" applyFont="1" applyFill="1" applyBorder="1" applyAlignment="1">
      <alignment horizontal="center" vertical="center" wrapText="1"/>
    </xf>
    <xf numFmtId="9" fontId="92" fillId="5" borderId="2" xfId="2" applyFont="1" applyFill="1" applyBorder="1" applyAlignment="1">
      <alignment horizontal="center" vertical="center"/>
    </xf>
    <xf numFmtId="9" fontId="92" fillId="5" borderId="2" xfId="2" applyFont="1" applyFill="1" applyBorder="1" applyAlignment="1">
      <alignment horizontal="center" vertical="center" wrapText="1"/>
    </xf>
    <xf numFmtId="3" fontId="91" fillId="5" borderId="4" xfId="0" applyNumberFormat="1" applyFont="1" applyFill="1" applyBorder="1" applyAlignment="1">
      <alignment horizontal="center" vertical="center" wrapText="1"/>
    </xf>
    <xf numFmtId="3" fontId="91" fillId="5" borderId="6" xfId="0" applyNumberFormat="1" applyFont="1" applyFill="1" applyBorder="1" applyAlignment="1">
      <alignment horizontal="center" vertical="center" wrapText="1"/>
    </xf>
    <xf numFmtId="164" fontId="92" fillId="0" borderId="16" xfId="2" applyNumberFormat="1" applyFont="1" applyBorder="1" applyAlignment="1">
      <alignment horizontal="center" vertical="center"/>
    </xf>
    <xf numFmtId="164" fontId="92" fillId="0" borderId="16" xfId="2" applyNumberFormat="1" applyFont="1" applyFill="1" applyBorder="1" applyAlignment="1">
      <alignment horizontal="center" vertical="center" wrapText="1"/>
    </xf>
    <xf numFmtId="3" fontId="91" fillId="5" borderId="2" xfId="0" quotePrefix="1" applyNumberFormat="1" applyFont="1" applyFill="1" applyBorder="1" applyAlignment="1">
      <alignment horizontal="center" vertical="center"/>
    </xf>
    <xf numFmtId="168" fontId="92" fillId="0" borderId="16" xfId="1" applyNumberFormat="1" applyFont="1" applyFill="1" applyBorder="1" applyAlignment="1">
      <alignment vertical="center"/>
    </xf>
    <xf numFmtId="3" fontId="92" fillId="0" borderId="4" xfId="0" applyNumberFormat="1" applyFont="1" applyFill="1" applyBorder="1" applyAlignment="1">
      <alignment horizontal="center" vertical="center" wrapText="1"/>
    </xf>
    <xf numFmtId="0" fontId="91" fillId="0" borderId="4" xfId="0" applyFont="1" applyFill="1" applyBorder="1" applyAlignment="1">
      <alignment horizontal="left" vertical="center" wrapText="1"/>
    </xf>
    <xf numFmtId="3" fontId="92" fillId="0" borderId="2" xfId="0" quotePrefix="1" applyNumberFormat="1" applyFont="1" applyBorder="1" applyAlignment="1">
      <alignment horizontal="center" vertical="center"/>
    </xf>
    <xf numFmtId="9" fontId="92" fillId="0" borderId="16" xfId="2" applyFont="1" applyBorder="1" applyAlignment="1">
      <alignment horizontal="center" vertical="center"/>
    </xf>
    <xf numFmtId="9" fontId="92" fillId="0" borderId="16" xfId="2" applyFont="1" applyFill="1" applyBorder="1" applyAlignment="1">
      <alignment horizontal="center" vertical="center" wrapText="1"/>
    </xf>
    <xf numFmtId="3" fontId="91" fillId="0" borderId="16" xfId="0" applyNumberFormat="1" applyFont="1" applyFill="1" applyBorder="1" applyAlignment="1">
      <alignment horizontal="center" vertical="center" wrapText="1"/>
    </xf>
    <xf numFmtId="0" fontId="91" fillId="3" borderId="2" xfId="0" applyFont="1" applyFill="1" applyBorder="1" applyAlignment="1">
      <alignment horizontal="left" vertical="center" wrapText="1"/>
    </xf>
    <xf numFmtId="3" fontId="92" fillId="0" borderId="4" xfId="0" applyNumberFormat="1" applyFont="1" applyFill="1" applyBorder="1" applyAlignment="1" applyProtection="1">
      <alignment horizontal="center" vertical="center"/>
    </xf>
    <xf numFmtId="3" fontId="91" fillId="0" borderId="16" xfId="0" applyNumberFormat="1" applyFont="1" applyFill="1" applyBorder="1" applyAlignment="1" applyProtection="1">
      <alignment horizontal="center" vertical="center"/>
    </xf>
    <xf numFmtId="0" fontId="94" fillId="0" borderId="0" xfId="0" applyFont="1" applyAlignment="1">
      <alignment vertical="center"/>
    </xf>
    <xf numFmtId="0" fontId="91" fillId="5" borderId="1" xfId="0" applyFont="1" applyFill="1" applyBorder="1" applyAlignment="1">
      <alignment vertical="center" wrapText="1"/>
    </xf>
    <xf numFmtId="3" fontId="91" fillId="5" borderId="1" xfId="0" applyNumberFormat="1" applyFont="1" applyFill="1" applyBorder="1" applyAlignment="1">
      <alignment horizontal="center" vertical="center" wrapText="1"/>
    </xf>
    <xf numFmtId="3" fontId="91" fillId="0" borderId="4" xfId="0" applyNumberFormat="1" applyFont="1" applyFill="1" applyBorder="1" applyAlignment="1" applyProtection="1">
      <alignment horizontal="center" vertical="center"/>
    </xf>
    <xf numFmtId="3" fontId="92" fillId="0" borderId="1" xfId="1" applyNumberFormat="1" applyFont="1" applyFill="1" applyBorder="1" applyAlignment="1" applyProtection="1">
      <alignment horizontal="center" vertical="center"/>
    </xf>
    <xf numFmtId="164" fontId="92" fillId="0" borderId="2" xfId="2" applyNumberFormat="1" applyFont="1" applyFill="1" applyBorder="1" applyAlignment="1" applyProtection="1">
      <alignment horizontal="center" vertical="center"/>
    </xf>
    <xf numFmtId="164" fontId="92" fillId="0" borderId="1" xfId="2" applyNumberFormat="1" applyFont="1" applyFill="1" applyBorder="1" applyAlignment="1" applyProtection="1">
      <alignment horizontal="center" vertical="center"/>
    </xf>
    <xf numFmtId="0" fontId="91" fillId="5" borderId="1" xfId="0" applyFont="1" applyFill="1" applyBorder="1" applyAlignment="1">
      <alignment horizontal="left" vertical="center" wrapText="1"/>
    </xf>
    <xf numFmtId="0" fontId="91" fillId="5" borderId="16" xfId="0" applyFont="1" applyFill="1" applyBorder="1" applyAlignment="1">
      <alignment vertical="center" wrapText="1"/>
    </xf>
    <xf numFmtId="0" fontId="91" fillId="5" borderId="15" xfId="0" applyFont="1" applyFill="1" applyBorder="1" applyAlignment="1">
      <alignment vertical="center" wrapText="1"/>
    </xf>
    <xf numFmtId="2" fontId="92" fillId="0" borderId="0" xfId="0" applyNumberFormat="1" applyFont="1" applyBorder="1" applyAlignment="1">
      <alignment horizontal="center" vertical="center"/>
    </xf>
    <xf numFmtId="0" fontId="92" fillId="0" borderId="7" xfId="0" applyFont="1" applyBorder="1" applyAlignment="1">
      <alignment vertical="center"/>
    </xf>
    <xf numFmtId="0" fontId="93" fillId="0" borderId="7" xfId="0" applyFont="1" applyBorder="1" applyAlignment="1">
      <alignment vertical="center"/>
    </xf>
    <xf numFmtId="0" fontId="91" fillId="0" borderId="0" xfId="0" applyFont="1" applyBorder="1" applyAlignment="1">
      <alignment vertical="center"/>
    </xf>
    <xf numFmtId="2" fontId="92" fillId="0" borderId="7" xfId="0" applyNumberFormat="1" applyFont="1" applyBorder="1" applyAlignment="1">
      <alignment horizontal="center" vertical="center"/>
    </xf>
    <xf numFmtId="2" fontId="94" fillId="0" borderId="0" xfId="0" applyNumberFormat="1" applyFont="1" applyBorder="1" applyAlignment="1" applyProtection="1">
      <alignment horizontal="center" vertical="center"/>
    </xf>
    <xf numFmtId="2" fontId="92" fillId="0" borderId="0" xfId="0" applyNumberFormat="1" applyFont="1" applyFill="1" applyBorder="1" applyAlignment="1">
      <alignment horizontal="center" vertical="center"/>
    </xf>
    <xf numFmtId="2" fontId="94" fillId="0" borderId="11" xfId="0" applyNumberFormat="1" applyFont="1" applyBorder="1" applyAlignment="1" applyProtection="1">
      <alignment horizontal="center" vertical="center"/>
    </xf>
    <xf numFmtId="2" fontId="91" fillId="68" borderId="0" xfId="0" applyNumberFormat="1" applyFont="1" applyFill="1" applyBorder="1" applyAlignment="1">
      <alignment horizontal="center" vertical="center"/>
    </xf>
    <xf numFmtId="0" fontId="92" fillId="5" borderId="0" xfId="0" applyFont="1" applyFill="1" applyBorder="1" applyAlignment="1">
      <alignment vertical="center"/>
    </xf>
    <xf numFmtId="2" fontId="92" fillId="5" borderId="7" xfId="0" applyNumberFormat="1" applyFont="1" applyFill="1" applyBorder="1" applyAlignment="1">
      <alignment horizontal="center" vertical="center"/>
    </xf>
    <xf numFmtId="2" fontId="92" fillId="5" borderId="0" xfId="0" applyNumberFormat="1" applyFont="1" applyFill="1" applyBorder="1" applyAlignment="1">
      <alignment horizontal="center" vertical="center"/>
    </xf>
    <xf numFmtId="2" fontId="94" fillId="5" borderId="0" xfId="0" applyNumberFormat="1" applyFont="1" applyFill="1" applyBorder="1" applyAlignment="1" applyProtection="1">
      <alignment horizontal="center" vertical="center"/>
    </xf>
    <xf numFmtId="2" fontId="94" fillId="5" borderId="11" xfId="0" applyNumberFormat="1" applyFont="1" applyFill="1" applyBorder="1" applyAlignment="1" applyProtection="1">
      <alignment horizontal="center" vertical="center"/>
    </xf>
    <xf numFmtId="0" fontId="92" fillId="5" borderId="7" xfId="0" applyFont="1" applyFill="1" applyBorder="1" applyAlignment="1">
      <alignment vertical="center"/>
    </xf>
    <xf numFmtId="0" fontId="93" fillId="5" borderId="7" xfId="0" applyFont="1" applyFill="1" applyBorder="1" applyAlignment="1">
      <alignment vertical="center"/>
    </xf>
    <xf numFmtId="166" fontId="92" fillId="0" borderId="2" xfId="0" applyNumberFormat="1" applyFont="1" applyBorder="1" applyAlignment="1">
      <alignment horizontal="center" vertical="center"/>
    </xf>
    <xf numFmtId="0" fontId="92" fillId="0" borderId="1" xfId="0" applyFont="1" applyFill="1" applyBorder="1" applyAlignment="1">
      <alignment vertical="center"/>
    </xf>
    <xf numFmtId="1" fontId="92" fillId="0" borderId="13" xfId="0" applyNumberFormat="1" applyFont="1" applyFill="1" applyBorder="1" applyAlignment="1">
      <alignment horizontal="center" vertical="center"/>
    </xf>
    <xf numFmtId="1" fontId="92" fillId="0" borderId="2" xfId="0" applyNumberFormat="1" applyFont="1" applyBorder="1" applyAlignment="1">
      <alignment horizontal="center" vertical="center"/>
    </xf>
    <xf numFmtId="1" fontId="92" fillId="0" borderId="15" xfId="0" applyNumberFormat="1" applyFont="1" applyFill="1" applyBorder="1" applyAlignment="1">
      <alignment horizontal="center" vertical="center"/>
    </xf>
    <xf numFmtId="0" fontId="96" fillId="0" borderId="0" xfId="0" applyFont="1" applyAlignment="1">
      <alignment horizontal="left" vertical="center"/>
    </xf>
    <xf numFmtId="3" fontId="92" fillId="2" borderId="1" xfId="0" applyNumberFormat="1" applyFont="1" applyFill="1" applyBorder="1" applyAlignment="1">
      <alignment horizontal="center" vertical="center"/>
    </xf>
    <xf numFmtId="164" fontId="92" fillId="2" borderId="1" xfId="2" applyNumberFormat="1" applyFont="1" applyFill="1" applyBorder="1" applyAlignment="1">
      <alignment horizontal="center" vertical="center"/>
    </xf>
    <xf numFmtId="0" fontId="91" fillId="0" borderId="12" xfId="0" applyFont="1" applyFill="1" applyBorder="1" applyAlignment="1">
      <alignment horizontal="left" vertical="center"/>
    </xf>
    <xf numFmtId="3" fontId="91" fillId="2" borderId="12" xfId="0" applyNumberFormat="1" applyFont="1" applyFill="1" applyBorder="1" applyAlignment="1">
      <alignment horizontal="center" vertical="center"/>
    </xf>
    <xf numFmtId="164" fontId="92" fillId="0" borderId="14" xfId="0" applyNumberFormat="1" applyFont="1" applyFill="1" applyBorder="1" applyAlignment="1">
      <alignment horizontal="center" vertical="center"/>
    </xf>
    <xf numFmtId="164" fontId="92" fillId="2" borderId="16" xfId="2" applyNumberFormat="1" applyFont="1" applyFill="1" applyBorder="1" applyAlignment="1">
      <alignment horizontal="center" vertical="center"/>
    </xf>
    <xf numFmtId="3" fontId="91" fillId="0" borderId="16" xfId="0" applyNumberFormat="1" applyFont="1" applyFill="1" applyBorder="1" applyAlignment="1">
      <alignment horizontal="center" vertical="center"/>
    </xf>
    <xf numFmtId="3" fontId="92" fillId="70" borderId="2" xfId="0" applyNumberFormat="1" applyFont="1" applyFill="1" applyBorder="1" applyAlignment="1">
      <alignment horizontal="center" vertical="center"/>
    </xf>
    <xf numFmtId="3" fontId="92" fillId="67" borderId="2" xfId="0" applyNumberFormat="1" applyFont="1" applyFill="1" applyBorder="1" applyAlignment="1">
      <alignment horizontal="center" vertical="center"/>
    </xf>
    <xf numFmtId="3" fontId="92" fillId="70" borderId="2" xfId="0" applyNumberFormat="1" applyFont="1" applyFill="1" applyBorder="1" applyAlignment="1">
      <alignment horizontal="center" vertical="center" wrapText="1"/>
    </xf>
    <xf numFmtId="3" fontId="91" fillId="0" borderId="7" xfId="0" quotePrefix="1" applyNumberFormat="1" applyFont="1" applyFill="1" applyBorder="1" applyAlignment="1">
      <alignment horizontal="center" vertical="center"/>
    </xf>
    <xf numFmtId="3" fontId="92" fillId="67" borderId="2" xfId="0" applyNumberFormat="1" applyFont="1" applyFill="1" applyBorder="1" applyAlignment="1" applyProtection="1">
      <alignment horizontal="center" vertical="center"/>
    </xf>
    <xf numFmtId="3" fontId="92" fillId="70" borderId="2" xfId="0" applyNumberFormat="1" applyFont="1" applyFill="1" applyBorder="1" applyAlignment="1" applyProtection="1">
      <alignment horizontal="center" vertical="center"/>
    </xf>
    <xf numFmtId="0" fontId="94" fillId="0" borderId="2" xfId="0" applyFont="1" applyFill="1" applyBorder="1" applyAlignment="1">
      <alignment horizontal="left" vertical="center" wrapText="1"/>
    </xf>
    <xf numFmtId="164" fontId="94" fillId="0" borderId="2" xfId="2" applyNumberFormat="1" applyFont="1" applyBorder="1" applyAlignment="1">
      <alignment horizontal="center" vertical="center"/>
    </xf>
    <xf numFmtId="164" fontId="94" fillId="0" borderId="2" xfId="2" applyNumberFormat="1" applyFont="1" applyFill="1" applyBorder="1" applyAlignment="1">
      <alignment horizontal="center" vertical="center" wrapText="1"/>
    </xf>
    <xf numFmtId="164" fontId="94" fillId="0" borderId="6" xfId="0" applyNumberFormat="1" applyFont="1" applyBorder="1" applyAlignment="1">
      <alignment horizontal="center" vertical="center"/>
    </xf>
    <xf numFmtId="0" fontId="94" fillId="0" borderId="2" xfId="0" quotePrefix="1" applyFont="1" applyBorder="1" applyAlignment="1">
      <alignment horizontal="center" vertical="center"/>
    </xf>
    <xf numFmtId="164" fontId="94" fillId="0" borderId="2" xfId="0" applyNumberFormat="1" applyFont="1" applyBorder="1" applyAlignment="1">
      <alignment horizontal="center" vertical="center"/>
    </xf>
    <xf numFmtId="0" fontId="94" fillId="0" borderId="1" xfId="0" applyFont="1" applyFill="1" applyBorder="1" applyAlignment="1">
      <alignment horizontal="left" vertical="center" wrapText="1"/>
    </xf>
    <xf numFmtId="164" fontId="94" fillId="0" borderId="1" xfId="2" applyNumberFormat="1" applyFont="1" applyBorder="1" applyAlignment="1">
      <alignment horizontal="center" vertical="center"/>
    </xf>
    <xf numFmtId="164" fontId="94" fillId="0" borderId="10" xfId="0" applyNumberFormat="1" applyFont="1" applyBorder="1" applyAlignment="1">
      <alignment horizontal="center" vertical="center"/>
    </xf>
    <xf numFmtId="3" fontId="91" fillId="70" borderId="2" xfId="0" applyNumberFormat="1" applyFont="1" applyFill="1" applyBorder="1" applyAlignment="1">
      <alignment horizontal="center" vertical="center" wrapText="1"/>
    </xf>
    <xf numFmtId="3" fontId="91" fillId="67" borderId="2" xfId="0" applyNumberFormat="1" applyFont="1" applyFill="1" applyBorder="1" applyAlignment="1">
      <alignment horizontal="center" vertical="center" wrapText="1"/>
    </xf>
    <xf numFmtId="9" fontId="97" fillId="0" borderId="2" xfId="2" applyFont="1" applyBorder="1" applyAlignment="1">
      <alignment horizontal="center" vertical="center"/>
    </xf>
    <xf numFmtId="164" fontId="94" fillId="0" borderId="2" xfId="0" quotePrefix="1" applyNumberFormat="1" applyFont="1" applyFill="1" applyBorder="1" applyAlignment="1">
      <alignment horizontal="center" vertical="center"/>
    </xf>
    <xf numFmtId="164" fontId="94" fillId="0" borderId="2" xfId="0" applyNumberFormat="1" applyFont="1" applyFill="1" applyBorder="1" applyAlignment="1">
      <alignment horizontal="center" vertical="center"/>
    </xf>
    <xf numFmtId="165" fontId="94" fillId="0" borderId="2" xfId="0" applyNumberFormat="1" applyFont="1" applyFill="1" applyBorder="1" applyAlignment="1">
      <alignment horizontal="center" vertical="center"/>
    </xf>
    <xf numFmtId="9" fontId="94" fillId="0" borderId="2" xfId="2" applyFont="1" applyBorder="1" applyAlignment="1">
      <alignment horizontal="center" vertical="center"/>
    </xf>
    <xf numFmtId="9" fontId="94" fillId="0" borderId="2" xfId="2" applyFont="1" applyFill="1" applyBorder="1" applyAlignment="1">
      <alignment horizontal="center" vertical="center" wrapText="1"/>
    </xf>
    <xf numFmtId="168" fontId="92" fillId="67" borderId="2" xfId="1" applyNumberFormat="1" applyFont="1" applyFill="1" applyBorder="1" applyAlignment="1">
      <alignment vertical="center"/>
    </xf>
    <xf numFmtId="168" fontId="92" fillId="70" borderId="2" xfId="1" applyNumberFormat="1" applyFont="1" applyFill="1" applyBorder="1" applyAlignment="1">
      <alignment vertical="center"/>
    </xf>
    <xf numFmtId="164" fontId="92" fillId="2" borderId="10" xfId="2" applyNumberFormat="1" applyFont="1" applyFill="1" applyBorder="1" applyAlignment="1">
      <alignment horizontal="center" vertical="center"/>
    </xf>
    <xf numFmtId="164" fontId="92" fillId="0" borderId="15" xfId="2" applyNumberFormat="1" applyFont="1" applyFill="1" applyBorder="1" applyAlignment="1" applyProtection="1">
      <alignment horizontal="center" vertical="center"/>
    </xf>
    <xf numFmtId="169" fontId="92" fillId="0" borderId="16" xfId="0" applyNumberFormat="1" applyFont="1" applyFill="1" applyBorder="1" applyAlignment="1" applyProtection="1">
      <alignment horizontal="center" vertical="center"/>
    </xf>
    <xf numFmtId="1" fontId="92" fillId="0" borderId="1" xfId="0" applyNumberFormat="1" applyFont="1" applyFill="1" applyBorder="1" applyAlignment="1">
      <alignment horizontal="center" vertical="center"/>
    </xf>
    <xf numFmtId="1" fontId="92" fillId="0" borderId="2" xfId="0" applyNumberFormat="1" applyFont="1" applyFill="1" applyBorder="1" applyAlignment="1">
      <alignment horizontal="center" vertical="center"/>
    </xf>
    <xf numFmtId="164" fontId="92" fillId="0" borderId="8" xfId="0" applyNumberFormat="1" applyFont="1" applyFill="1" applyBorder="1" applyAlignment="1">
      <alignment horizontal="center" vertical="center"/>
    </xf>
    <xf numFmtId="3" fontId="92" fillId="2" borderId="2" xfId="2" applyNumberFormat="1" applyFont="1" applyFill="1" applyBorder="1" applyAlignment="1">
      <alignment horizontal="center" vertical="center" wrapText="1"/>
    </xf>
    <xf numFmtId="3" fontId="92" fillId="0" borderId="0" xfId="0" applyNumberFormat="1" applyFont="1" applyAlignment="1">
      <alignment horizontal="center" vertical="center"/>
    </xf>
    <xf numFmtId="1" fontId="6" fillId="3" borderId="16" xfId="0" applyNumberFormat="1" applyFont="1" applyFill="1" applyBorder="1" applyAlignment="1">
      <alignment horizontal="center" vertical="center"/>
    </xf>
    <xf numFmtId="3" fontId="92" fillId="0" borderId="1" xfId="1" applyNumberFormat="1" applyFont="1" applyBorder="1" applyAlignment="1">
      <alignment horizontal="center" vertical="center"/>
    </xf>
    <xf numFmtId="3" fontId="92" fillId="0" borderId="2" xfId="1" applyNumberFormat="1" applyFont="1" applyBorder="1" applyAlignment="1">
      <alignment horizontal="center" vertical="center"/>
    </xf>
    <xf numFmtId="164" fontId="91" fillId="5" borderId="6" xfId="0" applyNumberFormat="1" applyFont="1" applyFill="1" applyBorder="1" applyAlignment="1">
      <alignment horizontal="center" vertical="center"/>
    </xf>
    <xf numFmtId="164" fontId="91" fillId="5" borderId="10" xfId="0" applyNumberFormat="1" applyFont="1" applyFill="1" applyBorder="1" applyAlignment="1">
      <alignment horizontal="center" vertical="center"/>
    </xf>
    <xf numFmtId="164" fontId="91" fillId="5" borderId="2" xfId="0" applyNumberFormat="1" applyFont="1" applyFill="1" applyBorder="1" applyAlignment="1">
      <alignment horizontal="center" vertical="center"/>
    </xf>
    <xf numFmtId="164" fontId="91" fillId="0" borderId="7" xfId="0" quotePrefix="1" applyNumberFormat="1" applyFont="1" applyFill="1" applyBorder="1" applyAlignment="1">
      <alignment horizontal="center" vertical="center"/>
    </xf>
    <xf numFmtId="3" fontId="91" fillId="0" borderId="2" xfId="0" quotePrefix="1" applyNumberFormat="1" applyFont="1" applyFill="1" applyBorder="1" applyAlignment="1">
      <alignment horizontal="center" vertical="center"/>
    </xf>
    <xf numFmtId="3" fontId="92" fillId="67" borderId="10" xfId="0" applyNumberFormat="1" applyFont="1" applyFill="1" applyBorder="1" applyAlignment="1">
      <alignment horizontal="center" vertical="center"/>
    </xf>
    <xf numFmtId="0" fontId="92" fillId="0" borderId="1" xfId="0" applyFont="1" applyFill="1" applyBorder="1" applyAlignment="1">
      <alignment horizontal="left" vertical="center"/>
    </xf>
    <xf numFmtId="171" fontId="92" fillId="0" borderId="2" xfId="0" applyNumberFormat="1" applyFont="1" applyBorder="1" applyAlignment="1">
      <alignment horizontal="center" vertical="center"/>
    </xf>
    <xf numFmtId="3" fontId="92" fillId="69" borderId="2" xfId="0" applyNumberFormat="1" applyFont="1" applyFill="1" applyBorder="1" applyAlignment="1" applyProtection="1">
      <alignment horizontal="center" vertical="center"/>
    </xf>
    <xf numFmtId="164" fontId="91" fillId="68" borderId="2" xfId="0" applyNumberFormat="1" applyFont="1" applyFill="1" applyBorder="1" applyAlignment="1">
      <alignment horizontal="center" vertical="center"/>
    </xf>
    <xf numFmtId="164" fontId="91" fillId="68" borderId="1" xfId="0" applyNumberFormat="1" applyFont="1" applyFill="1" applyBorder="1" applyAlignment="1">
      <alignment horizontal="center" vertical="center"/>
    </xf>
    <xf numFmtId="164" fontId="92" fillId="5" borderId="6" xfId="0" quotePrefix="1" applyNumberFormat="1" applyFont="1" applyFill="1" applyBorder="1" applyAlignment="1">
      <alignment horizontal="center" vertical="center"/>
    </xf>
    <xf numFmtId="164" fontId="91" fillId="5" borderId="4" xfId="0" applyNumberFormat="1" applyFont="1" applyFill="1" applyBorder="1" applyAlignment="1">
      <alignment horizontal="center" vertical="center" wrapText="1"/>
    </xf>
    <xf numFmtId="0" fontId="6" fillId="37" borderId="0" xfId="0" applyFont="1" applyFill="1" applyBorder="1" applyAlignment="1">
      <alignment vertical="center"/>
    </xf>
    <xf numFmtId="164" fontId="91" fillId="5" borderId="2" xfId="2" applyNumberFormat="1" applyFont="1" applyFill="1" applyBorder="1" applyAlignment="1">
      <alignment horizontal="center" vertical="center"/>
    </xf>
    <xf numFmtId="164" fontId="91" fillId="5" borderId="2" xfId="2" applyNumberFormat="1" applyFont="1" applyFill="1" applyBorder="1" applyAlignment="1">
      <alignment horizontal="center" vertical="center" wrapText="1"/>
    </xf>
    <xf numFmtId="0" fontId="91" fillId="0" borderId="0" xfId="0" applyFont="1" applyAlignment="1">
      <alignment vertical="center"/>
    </xf>
    <xf numFmtId="0" fontId="6" fillId="0" borderId="0" xfId="0" applyFont="1" applyAlignment="1">
      <alignment vertical="center"/>
    </xf>
    <xf numFmtId="0" fontId="7" fillId="0" borderId="16" xfId="0" applyFont="1" applyBorder="1" applyAlignment="1">
      <alignment vertical="center"/>
    </xf>
    <xf numFmtId="164" fontId="91" fillId="5" borderId="2" xfId="0" quotePrefix="1" applyNumberFormat="1" applyFont="1" applyFill="1" applyBorder="1" applyAlignment="1">
      <alignment horizontal="center" vertical="center"/>
    </xf>
    <xf numFmtId="9" fontId="91" fillId="5" borderId="5" xfId="2" applyFont="1" applyFill="1" applyBorder="1" applyAlignment="1">
      <alignment horizontal="center" vertical="center"/>
    </xf>
    <xf numFmtId="9" fontId="91" fillId="5" borderId="5" xfId="2" applyFont="1" applyFill="1" applyBorder="1" applyAlignment="1">
      <alignment horizontal="center" vertical="center" wrapText="1"/>
    </xf>
    <xf numFmtId="9" fontId="91" fillId="5" borderId="2" xfId="2" applyFont="1" applyFill="1" applyBorder="1" applyAlignment="1">
      <alignment horizontal="center" vertical="center"/>
    </xf>
    <xf numFmtId="9" fontId="91" fillId="5" borderId="2" xfId="2" applyFont="1" applyFill="1" applyBorder="1" applyAlignment="1">
      <alignment horizontal="center" vertical="center" wrapText="1"/>
    </xf>
    <xf numFmtId="165" fontId="91" fillId="5" borderId="2" xfId="0" applyNumberFormat="1" applyFont="1" applyFill="1" applyBorder="1" applyAlignment="1">
      <alignment horizontal="center" vertical="center"/>
    </xf>
    <xf numFmtId="164" fontId="91" fillId="5" borderId="2" xfId="2" applyNumberFormat="1" applyFont="1" applyFill="1" applyBorder="1" applyAlignment="1">
      <alignment vertical="center"/>
    </xf>
    <xf numFmtId="164" fontId="91" fillId="5" borderId="7" xfId="0" applyNumberFormat="1" applyFont="1" applyFill="1" applyBorder="1" applyAlignment="1">
      <alignment horizontal="center" vertical="center"/>
    </xf>
    <xf numFmtId="168" fontId="92" fillId="70" borderId="2" xfId="1" applyNumberFormat="1" applyFont="1" applyFill="1" applyBorder="1" applyAlignment="1">
      <alignment horizontal="center" vertical="center"/>
    </xf>
    <xf numFmtId="1" fontId="92" fillId="69" borderId="2" xfId="0" applyNumberFormat="1" applyFont="1" applyFill="1" applyBorder="1" applyAlignment="1">
      <alignment horizontal="center" vertical="center"/>
    </xf>
    <xf numFmtId="164" fontId="91" fillId="5" borderId="2" xfId="0" applyNumberFormat="1" applyFont="1" applyFill="1" applyBorder="1" applyAlignment="1">
      <alignment horizontal="left" vertical="center"/>
    </xf>
    <xf numFmtId="164" fontId="91" fillId="5" borderId="15" xfId="0" applyNumberFormat="1" applyFont="1" applyFill="1" applyBorder="1" applyAlignment="1">
      <alignment horizontal="center" vertical="center"/>
    </xf>
    <xf numFmtId="1" fontId="6" fillId="5" borderId="6" xfId="0" applyNumberFormat="1" applyFont="1" applyFill="1" applyBorder="1" applyAlignment="1">
      <alignment horizontal="center" vertical="center"/>
    </xf>
    <xf numFmtId="1" fontId="6" fillId="5" borderId="2" xfId="0" applyNumberFormat="1" applyFont="1" applyFill="1" applyBorder="1" applyAlignment="1">
      <alignment horizontal="center" vertical="center"/>
    </xf>
    <xf numFmtId="3" fontId="92" fillId="0" borderId="16" xfId="0" applyNumberFormat="1" applyFont="1" applyFill="1" applyBorder="1" applyAlignment="1">
      <alignment horizontal="center" vertical="center" wrapText="1"/>
    </xf>
    <xf numFmtId="3" fontId="91" fillId="5" borderId="2" xfId="0" quotePrefix="1" applyNumberFormat="1" applyFont="1" applyFill="1" applyBorder="1" applyAlignment="1">
      <alignment horizontal="center" vertical="center" wrapText="1"/>
    </xf>
    <xf numFmtId="9" fontId="91" fillId="5" borderId="1" xfId="2" applyFont="1" applyFill="1" applyBorder="1" applyAlignment="1">
      <alignment horizontal="center" vertical="center"/>
    </xf>
    <xf numFmtId="9" fontId="91" fillId="5" borderId="1" xfId="2" applyFont="1" applyFill="1" applyBorder="1" applyAlignment="1">
      <alignment horizontal="center" vertical="center" wrapText="1"/>
    </xf>
    <xf numFmtId="164" fontId="91" fillId="5" borderId="1" xfId="0" applyNumberFormat="1" applyFont="1" applyFill="1" applyBorder="1" applyAlignment="1">
      <alignment horizontal="center" vertical="center"/>
    </xf>
    <xf numFmtId="164" fontId="92" fillId="5" borderId="2" xfId="0" quotePrefix="1" applyNumberFormat="1" applyFont="1" applyFill="1" applyBorder="1" applyAlignment="1">
      <alignment horizontal="center" vertical="center"/>
    </xf>
    <xf numFmtId="0" fontId="94" fillId="0" borderId="2" xfId="0" applyFont="1" applyFill="1" applyBorder="1" applyAlignment="1">
      <alignment horizontal="left" vertical="center"/>
    </xf>
    <xf numFmtId="0" fontId="92" fillId="0" borderId="2" xfId="0" applyFont="1" applyFill="1" applyBorder="1" applyAlignment="1">
      <alignment horizontal="left" vertical="center" indent="1"/>
    </xf>
    <xf numFmtId="3" fontId="94" fillId="2" borderId="1" xfId="0" applyNumberFormat="1" applyFont="1" applyFill="1" applyBorder="1" applyAlignment="1">
      <alignment horizontal="center" vertical="center"/>
    </xf>
    <xf numFmtId="2" fontId="91" fillId="0" borderId="2" xfId="1" applyNumberFormat="1" applyFont="1" applyFill="1" applyBorder="1" applyAlignment="1" applyProtection="1">
      <alignment horizontal="center" vertical="center"/>
    </xf>
    <xf numFmtId="2" fontId="91" fillId="0" borderId="2" xfId="1" applyNumberFormat="1" applyFont="1" applyBorder="1" applyAlignment="1">
      <alignment horizontal="center" vertical="center"/>
    </xf>
    <xf numFmtId="165" fontId="91" fillId="0" borderId="2" xfId="1" applyNumberFormat="1" applyFont="1" applyFill="1" applyBorder="1" applyAlignment="1" applyProtection="1">
      <alignment horizontal="center" vertical="center"/>
    </xf>
    <xf numFmtId="165" fontId="91" fillId="0" borderId="2" xfId="1" applyNumberFormat="1" applyFont="1" applyBorder="1" applyAlignment="1">
      <alignment horizontal="center" vertical="center"/>
    </xf>
    <xf numFmtId="2" fontId="94" fillId="0" borderId="2" xfId="1" applyNumberFormat="1" applyFont="1" applyFill="1" applyBorder="1" applyAlignment="1" applyProtection="1">
      <alignment horizontal="center" vertical="center"/>
    </xf>
    <xf numFmtId="2" fontId="94" fillId="0" borderId="2" xfId="1" applyNumberFormat="1" applyFont="1" applyBorder="1" applyAlignment="1">
      <alignment horizontal="center" vertical="center"/>
    </xf>
    <xf numFmtId="165" fontId="94" fillId="0" borderId="2" xfId="1" applyNumberFormat="1" applyFont="1" applyFill="1" applyBorder="1" applyAlignment="1" applyProtection="1">
      <alignment horizontal="center" vertical="center"/>
    </xf>
    <xf numFmtId="165" fontId="94" fillId="0" borderId="2" xfId="1" applyNumberFormat="1" applyFont="1" applyBorder="1" applyAlignment="1">
      <alignment horizontal="center" vertical="center"/>
    </xf>
    <xf numFmtId="165" fontId="94" fillId="0" borderId="2" xfId="0" quotePrefix="1" applyNumberFormat="1" applyFont="1" applyFill="1" applyBorder="1" applyAlignment="1">
      <alignment horizontal="center" vertical="center"/>
    </xf>
    <xf numFmtId="9" fontId="91" fillId="70" borderId="2" xfId="0" applyNumberFormat="1" applyFont="1" applyFill="1" applyBorder="1" applyAlignment="1">
      <alignment horizontal="center" vertical="center"/>
    </xf>
    <xf numFmtId="9" fontId="91" fillId="5" borderId="2" xfId="0" applyNumberFormat="1" applyFont="1" applyFill="1" applyBorder="1" applyAlignment="1">
      <alignment horizontal="center" vertical="center"/>
    </xf>
    <xf numFmtId="164" fontId="94" fillId="0" borderId="1" xfId="0" applyNumberFormat="1" applyFont="1" applyFill="1" applyBorder="1" applyAlignment="1">
      <alignment horizontal="center" vertical="center"/>
    </xf>
    <xf numFmtId="164" fontId="94" fillId="0" borderId="1" xfId="0" quotePrefix="1" applyNumberFormat="1" applyFont="1" applyFill="1" applyBorder="1" applyAlignment="1">
      <alignment horizontal="center" vertical="center"/>
    </xf>
    <xf numFmtId="0" fontId="86" fillId="5" borderId="4" xfId="0" applyFont="1" applyFill="1" applyBorder="1" applyAlignment="1">
      <alignment horizontal="left" vertical="center" wrapText="1"/>
    </xf>
    <xf numFmtId="0" fontId="100" fillId="0" borderId="2" xfId="0" applyFont="1" applyFill="1" applyBorder="1" applyAlignment="1">
      <alignment horizontal="left" vertical="center" wrapText="1"/>
    </xf>
    <xf numFmtId="0" fontId="100" fillId="0" borderId="4" xfId="0" applyFont="1" applyFill="1" applyBorder="1" applyAlignment="1">
      <alignment horizontal="left" vertical="center" wrapText="1"/>
    </xf>
    <xf numFmtId="0" fontId="91" fillId="4" borderId="2" xfId="0" applyNumberFormat="1" applyFont="1" applyFill="1" applyBorder="1" applyAlignment="1">
      <alignment horizontal="center" vertical="center"/>
    </xf>
    <xf numFmtId="164" fontId="91" fillId="4" borderId="2" xfId="0" quotePrefix="1" applyNumberFormat="1" applyFont="1" applyFill="1" applyBorder="1" applyAlignment="1">
      <alignment horizontal="center" vertical="center"/>
    </xf>
    <xf numFmtId="1" fontId="91" fillId="3" borderId="15" xfId="0" applyNumberFormat="1" applyFont="1" applyFill="1" applyBorder="1" applyAlignment="1">
      <alignment horizontal="center" vertical="center"/>
    </xf>
    <xf numFmtId="1" fontId="91" fillId="3" borderId="2" xfId="0" applyNumberFormat="1" applyFont="1" applyFill="1" applyBorder="1" applyAlignment="1">
      <alignment horizontal="center" vertical="center"/>
    </xf>
    <xf numFmtId="0" fontId="92" fillId="0" borderId="12" xfId="0" applyFont="1" applyBorder="1" applyAlignment="1">
      <alignment vertical="center"/>
    </xf>
    <xf numFmtId="2" fontId="92" fillId="0" borderId="12" xfId="0" applyNumberFormat="1" applyFont="1" applyBorder="1" applyAlignment="1">
      <alignment horizontal="center" vertical="center"/>
    </xf>
    <xf numFmtId="3" fontId="91" fillId="5" borderId="12" xfId="0" applyNumberFormat="1" applyFont="1" applyFill="1" applyBorder="1" applyAlignment="1" applyProtection="1">
      <alignment horizontal="center" vertical="center"/>
    </xf>
    <xf numFmtId="164" fontId="91" fillId="5" borderId="12" xfId="0" applyNumberFormat="1" applyFont="1" applyFill="1" applyBorder="1" applyAlignment="1">
      <alignment horizontal="center" vertical="center"/>
    </xf>
    <xf numFmtId="164" fontId="91" fillId="5" borderId="13" xfId="0" applyNumberFormat="1" applyFont="1" applyFill="1" applyBorder="1" applyAlignment="1">
      <alignment horizontal="center" vertical="center"/>
    </xf>
    <xf numFmtId="2" fontId="92" fillId="0" borderId="10" xfId="0" applyNumberFormat="1" applyFont="1" applyBorder="1" applyAlignment="1">
      <alignment horizontal="center" vertical="center"/>
    </xf>
    <xf numFmtId="2" fontId="94" fillId="0" borderId="12" xfId="0" applyNumberFormat="1" applyFont="1" applyBorder="1" applyAlignment="1" applyProtection="1">
      <alignment horizontal="center" vertical="center"/>
    </xf>
    <xf numFmtId="2" fontId="92" fillId="0" borderId="12" xfId="0" applyNumberFormat="1" applyFont="1" applyFill="1" applyBorder="1" applyAlignment="1">
      <alignment horizontal="center" vertical="center"/>
    </xf>
    <xf numFmtId="2" fontId="94" fillId="0" borderId="13" xfId="0" applyNumberFormat="1" applyFont="1" applyBorder="1" applyAlignment="1" applyProtection="1">
      <alignment horizontal="center" vertical="center"/>
    </xf>
    <xf numFmtId="0" fontId="91" fillId="68" borderId="8" xfId="0" applyFont="1" applyFill="1" applyBorder="1" applyAlignment="1">
      <alignment vertical="center"/>
    </xf>
    <xf numFmtId="0" fontId="91" fillId="68" borderId="9" xfId="0" applyFont="1" applyFill="1" applyBorder="1" applyAlignment="1">
      <alignment vertical="center"/>
    </xf>
    <xf numFmtId="2" fontId="91" fillId="68" borderId="9" xfId="0" applyNumberFormat="1" applyFont="1" applyFill="1" applyBorder="1" applyAlignment="1">
      <alignment horizontal="center" vertical="center"/>
    </xf>
    <xf numFmtId="2" fontId="94" fillId="68" borderId="9" xfId="0" applyNumberFormat="1" applyFont="1" applyFill="1" applyBorder="1" applyAlignment="1" applyProtection="1">
      <alignment horizontal="center" vertical="center"/>
    </xf>
    <xf numFmtId="2" fontId="91" fillId="68" borderId="14" xfId="0" applyNumberFormat="1" applyFont="1" applyFill="1" applyBorder="1" applyAlignment="1">
      <alignment horizontal="center" vertical="center"/>
    </xf>
    <xf numFmtId="0" fontId="92" fillId="5" borderId="10" xfId="0" applyFont="1" applyFill="1" applyBorder="1" applyAlignment="1">
      <alignment vertical="center"/>
    </xf>
    <xf numFmtId="0" fontId="92" fillId="5" borderId="12" xfId="0" applyFont="1" applyFill="1" applyBorder="1" applyAlignment="1">
      <alignment vertical="center"/>
    </xf>
    <xf numFmtId="2" fontId="92" fillId="5" borderId="10" xfId="0" applyNumberFormat="1" applyFont="1" applyFill="1" applyBorder="1" applyAlignment="1">
      <alignment horizontal="center" vertical="center"/>
    </xf>
    <xf numFmtId="2" fontId="92" fillId="5" borderId="12" xfId="0" applyNumberFormat="1" applyFont="1" applyFill="1" applyBorder="1" applyAlignment="1">
      <alignment horizontal="center" vertical="center"/>
    </xf>
    <xf numFmtId="2" fontId="94" fillId="5" borderId="12" xfId="0" applyNumberFormat="1" applyFont="1" applyFill="1" applyBorder="1" applyAlignment="1" applyProtection="1">
      <alignment horizontal="center" vertical="center"/>
    </xf>
    <xf numFmtId="2" fontId="94" fillId="5" borderId="13" xfId="0" applyNumberFormat="1" applyFont="1" applyFill="1" applyBorder="1" applyAlignment="1" applyProtection="1">
      <alignment horizontal="center" vertical="center"/>
    </xf>
    <xf numFmtId="0" fontId="93" fillId="5" borderId="10" xfId="0" applyFont="1" applyFill="1" applyBorder="1" applyAlignment="1">
      <alignment vertical="center"/>
    </xf>
    <xf numFmtId="0" fontId="92" fillId="68" borderId="9" xfId="0" applyFont="1" applyFill="1" applyBorder="1" applyAlignment="1">
      <alignment vertical="center"/>
    </xf>
    <xf numFmtId="2" fontId="92" fillId="68" borderId="9" xfId="0" applyNumberFormat="1" applyFont="1" applyFill="1" applyBorder="1" applyAlignment="1">
      <alignment horizontal="center" vertical="center"/>
    </xf>
    <xf numFmtId="164" fontId="91" fillId="5" borderId="1" xfId="2" applyNumberFormat="1" applyFont="1" applyFill="1" applyBorder="1" applyAlignment="1">
      <alignment horizontal="center" vertical="center"/>
    </xf>
    <xf numFmtId="164" fontId="94" fillId="0" borderId="2" xfId="2" applyNumberFormat="1" applyFont="1" applyFill="1" applyBorder="1" applyAlignment="1">
      <alignment horizontal="center" vertical="center"/>
    </xf>
    <xf numFmtId="164" fontId="97" fillId="0" borderId="2" xfId="2" quotePrefix="1" applyNumberFormat="1" applyFont="1" applyFill="1" applyBorder="1" applyAlignment="1">
      <alignment horizontal="center" vertical="center"/>
    </xf>
    <xf numFmtId="164" fontId="91" fillId="70" borderId="2" xfId="2" applyNumberFormat="1" applyFont="1" applyFill="1" applyBorder="1" applyAlignment="1">
      <alignment horizontal="center" vertical="center"/>
    </xf>
    <xf numFmtId="166" fontId="92" fillId="70" borderId="2" xfId="0" applyNumberFormat="1" applyFont="1" applyFill="1" applyBorder="1" applyAlignment="1">
      <alignment horizontal="center" vertical="center"/>
    </xf>
    <xf numFmtId="166" fontId="92" fillId="0" borderId="16" xfId="0" applyNumberFormat="1" applyFont="1" applyBorder="1" applyAlignment="1">
      <alignment horizontal="center" vertical="center"/>
    </xf>
    <xf numFmtId="167" fontId="91" fillId="68" borderId="16" xfId="0" applyNumberFormat="1" applyFont="1" applyFill="1" applyBorder="1" applyAlignment="1">
      <alignment horizontal="center" vertical="center"/>
    </xf>
    <xf numFmtId="164" fontId="91" fillId="68" borderId="16" xfId="0" applyNumberFormat="1" applyFont="1" applyFill="1" applyBorder="1" applyAlignment="1">
      <alignment horizontal="center" vertical="center"/>
    </xf>
    <xf numFmtId="169" fontId="91" fillId="68" borderId="16" xfId="0" applyNumberFormat="1" applyFont="1" applyFill="1" applyBorder="1" applyAlignment="1" applyProtection="1">
      <alignment horizontal="center" vertical="center"/>
    </xf>
    <xf numFmtId="169" fontId="91" fillId="68" borderId="15" xfId="0" applyNumberFormat="1" applyFont="1" applyFill="1" applyBorder="1" applyAlignment="1" applyProtection="1">
      <alignment horizontal="center" vertical="center"/>
    </xf>
    <xf numFmtId="166" fontId="92" fillId="0" borderId="16" xfId="0" applyNumberFormat="1" applyFont="1" applyFill="1" applyBorder="1" applyAlignment="1">
      <alignment horizontal="center" vertical="center"/>
    </xf>
    <xf numFmtId="0" fontId="91" fillId="5" borderId="4" xfId="0" applyFont="1" applyFill="1" applyBorder="1" applyAlignment="1">
      <alignment horizontal="left" vertical="center"/>
    </xf>
    <xf numFmtId="166" fontId="91" fillId="5" borderId="4" xfId="0" applyNumberFormat="1" applyFont="1" applyFill="1" applyBorder="1" applyAlignment="1">
      <alignment horizontal="center" vertical="center"/>
    </xf>
    <xf numFmtId="164" fontId="91" fillId="5" borderId="4" xfId="0" applyNumberFormat="1" applyFont="1" applyFill="1" applyBorder="1" applyAlignment="1">
      <alignment horizontal="center" vertical="center"/>
    </xf>
    <xf numFmtId="164" fontId="91" fillId="5" borderId="14" xfId="0" applyNumberFormat="1" applyFont="1" applyFill="1" applyBorder="1" applyAlignment="1">
      <alignment horizontal="center" vertical="center"/>
    </xf>
    <xf numFmtId="0" fontId="94" fillId="0" borderId="10" xfId="0" applyFont="1" applyFill="1" applyBorder="1" applyAlignment="1">
      <alignment horizontal="left" vertical="center"/>
    </xf>
    <xf numFmtId="164" fontId="94" fillId="2" borderId="1" xfId="2" applyNumberFormat="1" applyFont="1" applyFill="1" applyBorder="1" applyAlignment="1">
      <alignment horizontal="center" vertical="center"/>
    </xf>
    <xf numFmtId="164" fontId="94" fillId="2" borderId="10" xfId="2" applyNumberFormat="1" applyFont="1" applyFill="1" applyBorder="1" applyAlignment="1">
      <alignment horizontal="center" vertical="center"/>
    </xf>
    <xf numFmtId="0" fontId="94" fillId="0" borderId="8" xfId="0" applyFont="1" applyFill="1" applyBorder="1" applyAlignment="1">
      <alignment horizontal="left" vertical="center"/>
    </xf>
    <xf numFmtId="0" fontId="94" fillId="0" borderId="6" xfId="0" applyFont="1" applyFill="1" applyBorder="1" applyAlignment="1">
      <alignment horizontal="left" vertical="center"/>
    </xf>
    <xf numFmtId="164" fontId="94" fillId="2" borderId="10" xfId="2" quotePrefix="1" applyNumberFormat="1" applyFont="1" applyFill="1" applyBorder="1" applyAlignment="1">
      <alignment horizontal="center" vertical="center"/>
    </xf>
    <xf numFmtId="164" fontId="94" fillId="2" borderId="1" xfId="2" quotePrefix="1" applyNumberFormat="1" applyFont="1" applyFill="1" applyBorder="1" applyAlignment="1">
      <alignment horizontal="center" vertical="center"/>
    </xf>
    <xf numFmtId="164" fontId="92" fillId="0" borderId="2" xfId="0" quotePrefix="1" applyNumberFormat="1" applyFont="1" applyBorder="1" applyAlignment="1">
      <alignment horizontal="center" vertical="center"/>
    </xf>
    <xf numFmtId="0" fontId="91" fillId="0" borderId="16" xfId="0" applyFont="1" applyFill="1" applyBorder="1" applyAlignment="1">
      <alignment horizontal="left" vertical="center"/>
    </xf>
    <xf numFmtId="164" fontId="91" fillId="2" borderId="16" xfId="2" applyNumberFormat="1" applyFont="1" applyFill="1" applyBorder="1" applyAlignment="1">
      <alignment horizontal="center" vertical="center"/>
    </xf>
    <xf numFmtId="166" fontId="92" fillId="0" borderId="12" xfId="0" applyNumberFormat="1" applyFont="1" applyFill="1" applyBorder="1" applyAlignment="1">
      <alignment horizontal="center" vertical="center"/>
    </xf>
    <xf numFmtId="0" fontId="7" fillId="5" borderId="0" xfId="0" applyFont="1" applyFill="1" applyAlignment="1">
      <alignment horizontal="left" vertical="center"/>
    </xf>
    <xf numFmtId="2" fontId="91" fillId="3" borderId="16" xfId="0" applyNumberFormat="1" applyFont="1" applyFill="1" applyBorder="1" applyAlignment="1">
      <alignment horizontal="center" vertical="center" wrapText="1"/>
    </xf>
    <xf numFmtId="0" fontId="91" fillId="3" borderId="15" xfId="0" applyFont="1" applyFill="1" applyBorder="1" applyAlignment="1">
      <alignment horizontal="center" vertical="center" wrapText="1"/>
    </xf>
    <xf numFmtId="0" fontId="91" fillId="3" borderId="16" xfId="0" applyFont="1" applyFill="1" applyBorder="1" applyAlignment="1">
      <alignment horizontal="center" vertical="center" wrapText="1"/>
    </xf>
    <xf numFmtId="2" fontId="91" fillId="3" borderId="6" xfId="0" applyNumberFormat="1" applyFont="1" applyFill="1" applyBorder="1" applyAlignment="1">
      <alignment horizontal="center" vertical="center" wrapText="1"/>
    </xf>
    <xf numFmtId="2" fontId="92" fillId="68" borderId="8" xfId="0" applyNumberFormat="1" applyFont="1" applyFill="1" applyBorder="1" applyAlignment="1">
      <alignment horizontal="center" vertical="center"/>
    </xf>
    <xf numFmtId="2" fontId="91" fillId="68" borderId="8" xfId="0" applyNumberFormat="1" applyFont="1" applyFill="1" applyBorder="1" applyAlignment="1">
      <alignment horizontal="center" vertical="center"/>
    </xf>
    <xf numFmtId="2" fontId="94" fillId="68" borderId="14" xfId="0" applyNumberFormat="1" applyFont="1" applyFill="1" applyBorder="1" applyAlignment="1" applyProtection="1">
      <alignment horizontal="center" vertical="center"/>
    </xf>
    <xf numFmtId="0" fontId="28" fillId="0" borderId="0" xfId="3" applyFont="1" applyAlignment="1">
      <alignment horizontal="center" vertical="top"/>
    </xf>
    <xf numFmtId="0" fontId="28" fillId="0" borderId="0" xfId="0" applyFont="1" applyAlignment="1">
      <alignment horizontal="center" vertical="top"/>
    </xf>
    <xf numFmtId="164" fontId="92" fillId="0" borderId="10" xfId="0" applyNumberFormat="1" applyFont="1" applyFill="1" applyBorder="1" applyAlignment="1">
      <alignment horizontal="center" vertical="center"/>
    </xf>
    <xf numFmtId="0" fontId="8" fillId="0" borderId="0" xfId="0" applyFont="1" applyAlignment="1">
      <alignment horizontal="center" vertical="center"/>
    </xf>
    <xf numFmtId="3" fontId="92" fillId="0" borderId="2" xfId="0" quotePrefix="1" applyNumberFormat="1" applyFont="1" applyFill="1" applyBorder="1" applyAlignment="1" applyProtection="1">
      <alignment horizontal="center" vertical="center"/>
    </xf>
    <xf numFmtId="0" fontId="92" fillId="0" borderId="2" xfId="0" quotePrefix="1" applyFont="1" applyFill="1" applyBorder="1" applyAlignment="1">
      <alignment horizontal="center" vertical="center"/>
    </xf>
    <xf numFmtId="165" fontId="91" fillId="5" borderId="2" xfId="0" quotePrefix="1" applyNumberFormat="1" applyFont="1" applyFill="1" applyBorder="1" applyAlignment="1">
      <alignment horizontal="center" vertical="center"/>
    </xf>
    <xf numFmtId="172" fontId="94" fillId="0" borderId="2" xfId="1" applyNumberFormat="1" applyFont="1" applyFill="1" applyBorder="1" applyAlignment="1">
      <alignment horizontal="center" vertical="center"/>
    </xf>
    <xf numFmtId="9" fontId="94" fillId="0" borderId="2" xfId="0" applyNumberFormat="1" applyFont="1" applyFill="1" applyBorder="1" applyAlignment="1">
      <alignment horizontal="center" vertical="center"/>
    </xf>
    <xf numFmtId="164" fontId="91" fillId="4" borderId="2" xfId="0" applyNumberFormat="1" applyFont="1" applyFill="1" applyBorder="1" applyAlignment="1">
      <alignment horizontal="center" vertical="center"/>
    </xf>
    <xf numFmtId="9" fontId="97" fillId="0" borderId="2" xfId="0" applyNumberFormat="1" applyFont="1" applyFill="1" applyBorder="1" applyAlignment="1">
      <alignment horizontal="center" vertical="center"/>
    </xf>
    <xf numFmtId="0" fontId="97" fillId="5" borderId="16" xfId="0" applyFont="1" applyFill="1" applyBorder="1" applyAlignment="1">
      <alignment vertical="center" wrapText="1"/>
    </xf>
    <xf numFmtId="0" fontId="97" fillId="5" borderId="15" xfId="0" applyFont="1" applyFill="1" applyBorder="1" applyAlignment="1">
      <alignment vertical="center" wrapText="1"/>
    </xf>
    <xf numFmtId="164" fontId="94" fillId="2" borderId="2" xfId="2" applyNumberFormat="1" applyFont="1" applyFill="1" applyBorder="1" applyAlignment="1">
      <alignment horizontal="center" vertical="center"/>
    </xf>
    <xf numFmtId="166" fontId="92" fillId="0" borderId="2" xfId="0" quotePrefix="1" applyNumberFormat="1" applyFont="1" applyFill="1" applyBorder="1" applyAlignment="1">
      <alignment horizontal="center" vertical="center"/>
    </xf>
    <xf numFmtId="164" fontId="92" fillId="0" borderId="10" xfId="0" quotePrefix="1" applyNumberFormat="1" applyFont="1" applyBorder="1" applyAlignment="1">
      <alignment horizontal="center" vertical="center"/>
    </xf>
    <xf numFmtId="0" fontId="92" fillId="5" borderId="2" xfId="0" applyFont="1" applyFill="1" applyBorder="1" applyAlignment="1">
      <alignment horizontal="left" vertical="center"/>
    </xf>
    <xf numFmtId="0" fontId="92" fillId="5" borderId="7" xfId="0" applyFont="1" applyFill="1" applyBorder="1" applyAlignment="1">
      <alignment horizontal="left" vertical="center"/>
    </xf>
    <xf numFmtId="3" fontId="92" fillId="5" borderId="5" xfId="0" applyNumberFormat="1" applyFont="1" applyFill="1" applyBorder="1" applyAlignment="1">
      <alignment horizontal="center" vertical="center"/>
    </xf>
    <xf numFmtId="3" fontId="92" fillId="5" borderId="11" xfId="0" applyNumberFormat="1" applyFont="1" applyFill="1" applyBorder="1" applyAlignment="1">
      <alignment horizontal="center" vertical="center"/>
    </xf>
    <xf numFmtId="0" fontId="94" fillId="0" borderId="4" xfId="0" applyFont="1" applyFill="1" applyBorder="1" applyAlignment="1">
      <alignment horizontal="left" vertical="center" wrapText="1" indent="1"/>
    </xf>
    <xf numFmtId="3" fontId="94" fillId="0" borderId="2" xfId="1" applyNumberFormat="1" applyFont="1" applyBorder="1" applyAlignment="1">
      <alignment horizontal="center" vertical="center"/>
    </xf>
    <xf numFmtId="9" fontId="94" fillId="0" borderId="1" xfId="2" applyFont="1" applyBorder="1" applyAlignment="1">
      <alignment horizontal="center" vertical="center"/>
    </xf>
    <xf numFmtId="0" fontId="94" fillId="0" borderId="2" xfId="0" applyFont="1" applyFill="1" applyBorder="1" applyAlignment="1">
      <alignment horizontal="left" vertical="center" wrapText="1" indent="1"/>
    </xf>
    <xf numFmtId="0" fontId="94" fillId="0" borderId="5" xfId="0" applyFont="1" applyFill="1" applyBorder="1" applyAlignment="1">
      <alignment horizontal="left" vertical="center" wrapText="1" indent="1"/>
    </xf>
    <xf numFmtId="164" fontId="94" fillId="0" borderId="1" xfId="0" applyNumberFormat="1" applyFont="1" applyBorder="1" applyAlignment="1">
      <alignment horizontal="center" vertical="center"/>
    </xf>
    <xf numFmtId="0" fontId="92" fillId="0" borderId="3" xfId="0" applyFont="1" applyFill="1" applyBorder="1" applyAlignment="1">
      <alignment horizontal="left" vertical="center" wrapText="1" indent="1"/>
    </xf>
    <xf numFmtId="9" fontId="92" fillId="0" borderId="3" xfId="2" applyFont="1" applyBorder="1" applyAlignment="1">
      <alignment horizontal="center" vertical="center"/>
    </xf>
    <xf numFmtId="164" fontId="92" fillId="0" borderId="3" xfId="0" applyNumberFormat="1" applyFont="1" applyBorder="1" applyAlignment="1">
      <alignment horizontal="center" vertical="center"/>
    </xf>
    <xf numFmtId="164" fontId="92" fillId="0" borderId="44" xfId="0" applyNumberFormat="1" applyFont="1" applyBorder="1" applyAlignment="1">
      <alignment horizontal="center" vertical="center"/>
    </xf>
    <xf numFmtId="3" fontId="94" fillId="0" borderId="1" xfId="1" applyNumberFormat="1" applyFont="1" applyBorder="1" applyAlignment="1">
      <alignment horizontal="center" vertical="center"/>
    </xf>
    <xf numFmtId="3" fontId="92" fillId="0" borderId="3" xfId="1" applyNumberFormat="1" applyFont="1" applyBorder="1" applyAlignment="1">
      <alignment horizontal="center" vertical="center"/>
    </xf>
    <xf numFmtId="164" fontId="91" fillId="5" borderId="6" xfId="0" quotePrefix="1" applyNumberFormat="1" applyFont="1" applyFill="1" applyBorder="1" applyAlignment="1">
      <alignment horizontal="center" vertical="center"/>
    </xf>
    <xf numFmtId="164" fontId="94" fillId="0" borderId="6" xfId="0" quotePrefix="1" applyNumberFormat="1" applyFont="1" applyFill="1" applyBorder="1" applyAlignment="1">
      <alignment horizontal="center" vertical="center"/>
    </xf>
    <xf numFmtId="9" fontId="94" fillId="0" borderId="1" xfId="2" applyFont="1" applyFill="1" applyBorder="1" applyAlignment="1">
      <alignment horizontal="center" vertical="center" wrapText="1"/>
    </xf>
    <xf numFmtId="164" fontId="94" fillId="0" borderId="2" xfId="0" quotePrefix="1" applyNumberFormat="1" applyFont="1" applyBorder="1" applyAlignment="1">
      <alignment horizontal="center" vertical="center"/>
    </xf>
    <xf numFmtId="164" fontId="91" fillId="5" borderId="1" xfId="0" quotePrefix="1" applyNumberFormat="1" applyFont="1" applyFill="1" applyBorder="1" applyAlignment="1">
      <alignment horizontal="center" vertical="center"/>
    </xf>
    <xf numFmtId="0" fontId="12" fillId="0" borderId="12" xfId="0" applyFont="1" applyBorder="1" applyAlignment="1">
      <alignment vertical="center"/>
    </xf>
    <xf numFmtId="164" fontId="92" fillId="2" borderId="2" xfId="2" applyNumberFormat="1" applyFont="1" applyFill="1" applyBorder="1" applyAlignment="1">
      <alignment horizontal="center" vertical="center"/>
    </xf>
    <xf numFmtId="0" fontId="92" fillId="2" borderId="8" xfId="0" applyNumberFormat="1" applyFont="1" applyFill="1" applyBorder="1" applyAlignment="1">
      <alignment horizontal="center" vertical="center"/>
    </xf>
    <xf numFmtId="0" fontId="92" fillId="2" borderId="6" xfId="0" applyNumberFormat="1" applyFont="1" applyFill="1" applyBorder="1" applyAlignment="1">
      <alignment horizontal="center" vertical="center"/>
    </xf>
    <xf numFmtId="167" fontId="91" fillId="5" borderId="4" xfId="0" applyNumberFormat="1" applyFont="1" applyFill="1" applyBorder="1" applyAlignment="1">
      <alignment horizontal="center" vertical="center"/>
    </xf>
    <xf numFmtId="167" fontId="92" fillId="0" borderId="2" xfId="0" applyNumberFormat="1" applyFont="1" applyBorder="1" applyAlignment="1">
      <alignment horizontal="center" vertical="center"/>
    </xf>
    <xf numFmtId="167" fontId="92" fillId="0" borderId="2" xfId="0" applyNumberFormat="1" applyFont="1" applyFill="1" applyBorder="1" applyAlignment="1">
      <alignment horizontal="center" vertical="center"/>
    </xf>
    <xf numFmtId="167" fontId="91" fillId="5" borderId="8" xfId="0" applyNumberFormat="1" applyFont="1" applyFill="1" applyBorder="1" applyAlignment="1">
      <alignment horizontal="center" vertical="center"/>
    </xf>
    <xf numFmtId="167" fontId="92" fillId="0" borderId="4" xfId="0" applyNumberFormat="1" applyFont="1" applyBorder="1" applyAlignment="1">
      <alignment horizontal="center" vertical="center"/>
    </xf>
    <xf numFmtId="1" fontId="92" fillId="67" borderId="13" xfId="11131" applyNumberFormat="1" applyFont="1" applyFill="1" applyBorder="1" applyAlignment="1" applyProtection="1">
      <alignment horizontal="center" vertical="center"/>
    </xf>
    <xf numFmtId="1" fontId="92" fillId="70" borderId="1" xfId="11131" applyNumberFormat="1" applyFont="1" applyFill="1" applyBorder="1" applyAlignment="1" applyProtection="1">
      <alignment horizontal="center" vertical="center"/>
    </xf>
    <xf numFmtId="1" fontId="92" fillId="67" borderId="15" xfId="11131" applyNumberFormat="1" applyFont="1" applyFill="1" applyBorder="1" applyAlignment="1" applyProtection="1">
      <alignment horizontal="center" vertical="center"/>
    </xf>
    <xf numFmtId="1" fontId="92" fillId="70" borderId="2" xfId="11131" applyNumberFormat="1" applyFont="1" applyFill="1" applyBorder="1" applyAlignment="1" applyProtection="1">
      <alignment horizontal="center" vertical="center"/>
    </xf>
    <xf numFmtId="0" fontId="5" fillId="4" borderId="0" xfId="11125" applyFill="1" applyAlignment="1">
      <alignment vertical="center"/>
    </xf>
    <xf numFmtId="0" fontId="5" fillId="0" borderId="0" xfId="11125" applyAlignment="1">
      <alignment vertical="center"/>
    </xf>
    <xf numFmtId="0" fontId="5" fillId="0" borderId="0" xfId="11125" applyAlignment="1">
      <alignment horizontal="right" vertical="center"/>
    </xf>
    <xf numFmtId="0" fontId="5" fillId="4" borderId="0" xfId="11125" applyFill="1" applyAlignment="1" applyProtection="1">
      <alignment horizontal="left" vertical="center"/>
      <protection locked="0"/>
    </xf>
    <xf numFmtId="0" fontId="5" fillId="0" borderId="0" xfId="11125" applyFont="1" applyAlignment="1">
      <alignment vertical="center"/>
    </xf>
    <xf numFmtId="0" fontId="101" fillId="0" borderId="0" xfId="11125" applyFont="1" applyAlignment="1">
      <alignment vertical="center"/>
    </xf>
    <xf numFmtId="0" fontId="81" fillId="0" borderId="35" xfId="11125" applyFont="1" applyFill="1" applyBorder="1" applyAlignment="1">
      <alignment horizontal="left" vertical="center"/>
    </xf>
    <xf numFmtId="0" fontId="82" fillId="0" borderId="35" xfId="11125" applyFont="1" applyFill="1" applyBorder="1" applyAlignment="1">
      <alignment horizontal="left" vertical="center"/>
    </xf>
    <xf numFmtId="0" fontId="80" fillId="0" borderId="35" xfId="11125" applyFont="1" applyFill="1" applyBorder="1" applyAlignment="1">
      <alignment horizontal="right" vertical="center"/>
    </xf>
    <xf numFmtId="0" fontId="80" fillId="0" borderId="35" xfId="11125" applyFont="1" applyFill="1" applyBorder="1" applyAlignment="1">
      <alignment horizontal="center" vertical="center"/>
    </xf>
    <xf numFmtId="0" fontId="5" fillId="0" borderId="0" xfId="11125" applyFill="1" applyAlignment="1">
      <alignment vertical="center"/>
    </xf>
    <xf numFmtId="0" fontId="74" fillId="0" borderId="0" xfId="11125" applyFont="1" applyFill="1" applyBorder="1" applyAlignment="1">
      <alignment horizontal="left" vertical="center"/>
    </xf>
    <xf numFmtId="0" fontId="7" fillId="0" borderId="0" xfId="11125" applyFont="1" applyFill="1" applyBorder="1" applyAlignment="1">
      <alignment horizontal="left" vertical="center"/>
    </xf>
    <xf numFmtId="0" fontId="7" fillId="0" borderId="0" xfId="11129" applyNumberFormat="1" applyFont="1" applyFill="1" applyBorder="1" applyAlignment="1">
      <alignment horizontal="left" vertical="center"/>
    </xf>
    <xf numFmtId="3" fontId="7" fillId="0" borderId="0" xfId="11126" quotePrefix="1" applyNumberFormat="1" applyFont="1" applyFill="1" applyBorder="1" applyAlignment="1">
      <alignment horizontal="right" vertical="center"/>
    </xf>
    <xf numFmtId="164" fontId="7" fillId="0" borderId="0" xfId="11125" applyNumberFormat="1" applyFont="1" applyFill="1" applyAlignment="1">
      <alignment vertical="center"/>
    </xf>
    <xf numFmtId="3" fontId="7" fillId="67" borderId="0" xfId="11126" quotePrefix="1" applyNumberFormat="1" applyFont="1" applyFill="1" applyBorder="1" applyAlignment="1">
      <alignment horizontal="right" vertical="center"/>
    </xf>
    <xf numFmtId="3" fontId="7" fillId="70" borderId="0" xfId="11126" quotePrefix="1" applyNumberFormat="1" applyFont="1" applyFill="1" applyBorder="1" applyAlignment="1">
      <alignment horizontal="right" vertical="center"/>
    </xf>
    <xf numFmtId="0" fontId="7" fillId="0" borderId="0" xfId="11125" applyNumberFormat="1" applyFont="1" applyFill="1" applyBorder="1" applyAlignment="1">
      <alignment horizontal="left" vertical="center"/>
    </xf>
    <xf numFmtId="164" fontId="7" fillId="0" borderId="0" xfId="11126" quotePrefix="1" applyNumberFormat="1" applyFont="1" applyFill="1" applyBorder="1" applyAlignment="1">
      <alignment horizontal="right" vertical="center"/>
    </xf>
    <xf numFmtId="164" fontId="7" fillId="67" borderId="0" xfId="11126" quotePrefix="1" applyNumberFormat="1" applyFont="1" applyFill="1" applyBorder="1" applyAlignment="1">
      <alignment horizontal="right" vertical="center"/>
    </xf>
    <xf numFmtId="164" fontId="7" fillId="70" borderId="0" xfId="11126" quotePrefix="1" applyNumberFormat="1" applyFont="1" applyFill="1" applyBorder="1" applyAlignment="1">
      <alignment horizontal="right" vertical="center"/>
    </xf>
    <xf numFmtId="164" fontId="7" fillId="0" borderId="0" xfId="11125" quotePrefix="1" applyNumberFormat="1" applyFont="1" applyFill="1" applyBorder="1" applyAlignment="1">
      <alignment horizontal="right" vertical="center"/>
    </xf>
    <xf numFmtId="164" fontId="7" fillId="0" borderId="0" xfId="11128" quotePrefix="1" applyNumberFormat="1" applyFont="1" applyFill="1" applyBorder="1" applyAlignment="1">
      <alignment vertical="center"/>
    </xf>
    <xf numFmtId="0" fontId="82" fillId="0" borderId="35" xfId="11125" applyFont="1" applyFill="1" applyBorder="1" applyAlignment="1">
      <alignment vertical="center"/>
    </xf>
    <xf numFmtId="171" fontId="7" fillId="0" borderId="0" xfId="11126" quotePrefix="1" applyNumberFormat="1" applyFont="1" applyFill="1" applyBorder="1" applyAlignment="1">
      <alignment horizontal="right" vertical="center"/>
    </xf>
    <xf numFmtId="171" fontId="7" fillId="67" borderId="0" xfId="11126" quotePrefix="1" applyNumberFormat="1" applyFont="1" applyFill="1" applyBorder="1" applyAlignment="1">
      <alignment horizontal="right" vertical="center"/>
    </xf>
    <xf numFmtId="171" fontId="7" fillId="70" borderId="0" xfId="11126" quotePrefix="1" applyNumberFormat="1" applyFont="1" applyFill="1" applyBorder="1" applyAlignment="1">
      <alignment horizontal="right" vertical="center"/>
    </xf>
    <xf numFmtId="0" fontId="74" fillId="0" borderId="35" xfId="11125" applyFont="1" applyBorder="1" applyAlignment="1">
      <alignment horizontal="left" vertical="center"/>
    </xf>
    <xf numFmtId="0" fontId="7" fillId="0" borderId="35" xfId="11125" applyFont="1" applyBorder="1" applyAlignment="1">
      <alignment horizontal="left" vertical="center"/>
    </xf>
    <xf numFmtId="0" fontId="74" fillId="0" borderId="0" xfId="11125" applyFont="1" applyFill="1" applyAlignment="1">
      <alignment horizontal="left" vertical="center"/>
    </xf>
    <xf numFmtId="0" fontId="74" fillId="0" borderId="0" xfId="11125" applyFont="1" applyAlignment="1">
      <alignment horizontal="left" vertical="center"/>
    </xf>
    <xf numFmtId="3" fontId="7" fillId="67" borderId="0" xfId="11125" quotePrefix="1" applyNumberFormat="1" applyFont="1" applyFill="1" applyBorder="1" applyAlignment="1">
      <alignment horizontal="right" vertical="center"/>
    </xf>
    <xf numFmtId="3" fontId="7" fillId="70" borderId="0" xfId="11125" quotePrefix="1" applyNumberFormat="1" applyFont="1" applyFill="1" applyBorder="1" applyAlignment="1">
      <alignment horizontal="right" vertical="center"/>
    </xf>
    <xf numFmtId="165" fontId="7" fillId="0" borderId="0" xfId="11125" quotePrefix="1" applyNumberFormat="1" applyFont="1" applyFill="1" applyBorder="1" applyAlignment="1">
      <alignment horizontal="right" vertical="center"/>
    </xf>
    <xf numFmtId="164" fontId="7" fillId="67" borderId="0" xfId="11125" quotePrefix="1" applyNumberFormat="1" applyFont="1" applyFill="1" applyBorder="1" applyAlignment="1">
      <alignment horizontal="right" vertical="center"/>
    </xf>
    <xf numFmtId="164" fontId="7" fillId="70" borderId="0" xfId="11125" quotePrefix="1" applyNumberFormat="1" applyFont="1" applyFill="1" applyBorder="1" applyAlignment="1">
      <alignment horizontal="right" vertical="center"/>
    </xf>
    <xf numFmtId="165" fontId="7" fillId="0" borderId="0" xfId="11125" quotePrefix="1" applyNumberFormat="1" applyFont="1" applyFill="1" applyBorder="1" applyAlignment="1">
      <alignment vertical="center"/>
    </xf>
    <xf numFmtId="0" fontId="74" fillId="0" borderId="35" xfId="11125" applyFont="1" applyFill="1" applyBorder="1" applyAlignment="1">
      <alignment horizontal="left" vertical="center"/>
    </xf>
    <xf numFmtId="0" fontId="7" fillId="0" borderId="35" xfId="11125" applyFont="1" applyFill="1" applyBorder="1" applyAlignment="1">
      <alignment horizontal="left" vertical="center"/>
    </xf>
    <xf numFmtId="0" fontId="6" fillId="0" borderId="35" xfId="11125" applyFont="1" applyFill="1" applyBorder="1" applyAlignment="1">
      <alignment horizontal="right" vertical="center"/>
    </xf>
    <xf numFmtId="0" fontId="6" fillId="0" borderId="35" xfId="11125" applyFont="1" applyFill="1" applyBorder="1" applyAlignment="1">
      <alignment vertical="center"/>
    </xf>
    <xf numFmtId="169" fontId="7" fillId="67" borderId="0" xfId="11127" quotePrefix="1" applyNumberFormat="1" applyFont="1" applyFill="1" applyBorder="1" applyAlignment="1" applyProtection="1">
      <alignment horizontal="right" vertical="center"/>
    </xf>
    <xf numFmtId="169" fontId="7" fillId="70" borderId="0" xfId="11127" quotePrefix="1" applyNumberFormat="1" applyFont="1" applyFill="1" applyBorder="1" applyAlignment="1" applyProtection="1">
      <alignment horizontal="right" vertical="center"/>
    </xf>
    <xf numFmtId="170" fontId="7" fillId="0" borderId="0" xfId="11126" quotePrefix="1" applyNumberFormat="1" applyFont="1" applyFill="1" applyBorder="1" applyAlignment="1">
      <alignment horizontal="right" vertical="center"/>
    </xf>
    <xf numFmtId="164" fontId="7" fillId="0" borderId="0" xfId="11126" quotePrefix="1" applyNumberFormat="1" applyFont="1" applyFill="1" applyBorder="1" applyAlignment="1">
      <alignment vertical="center"/>
    </xf>
    <xf numFmtId="42" fontId="7" fillId="0" borderId="0" xfId="11126" quotePrefix="1" applyNumberFormat="1" applyFont="1" applyFill="1" applyBorder="1" applyAlignment="1">
      <alignment horizontal="right" vertical="center"/>
    </xf>
    <xf numFmtId="0" fontId="86" fillId="0" borderId="0" xfId="11125" applyFont="1" applyFill="1" applyBorder="1" applyAlignment="1">
      <alignment horizontal="left" vertical="center"/>
    </xf>
    <xf numFmtId="0" fontId="85" fillId="0" borderId="0" xfId="11125" applyFont="1" applyAlignment="1">
      <alignment vertical="center"/>
    </xf>
    <xf numFmtId="0" fontId="85" fillId="0" borderId="0" xfId="11125" applyFont="1" applyAlignment="1">
      <alignment horizontal="right" vertical="center"/>
    </xf>
    <xf numFmtId="0" fontId="85" fillId="0" borderId="0" xfId="11125" applyFont="1" applyFill="1" applyAlignment="1">
      <alignment horizontal="right" vertical="center"/>
    </xf>
    <xf numFmtId="0" fontId="83" fillId="0" borderId="0" xfId="11125" applyFont="1" applyFill="1" applyBorder="1" applyAlignment="1">
      <alignment horizontal="left" vertical="center"/>
    </xf>
    <xf numFmtId="0" fontId="92" fillId="2" borderId="0" xfId="0" applyFont="1" applyFill="1" applyBorder="1" applyAlignment="1">
      <alignment horizontal="left" vertical="center"/>
    </xf>
    <xf numFmtId="164" fontId="94" fillId="0" borderId="1" xfId="2" applyNumberFormat="1" applyFont="1" applyFill="1" applyBorder="1" applyAlignment="1" applyProtection="1">
      <alignment horizontal="center" vertical="center"/>
    </xf>
    <xf numFmtId="0" fontId="94" fillId="0" borderId="4" xfId="0" applyFont="1" applyFill="1" applyBorder="1" applyAlignment="1">
      <alignment horizontal="left" vertical="center" wrapText="1"/>
    </xf>
    <xf numFmtId="164" fontId="94" fillId="0" borderId="2" xfId="2" applyNumberFormat="1" applyFont="1" applyFill="1" applyBorder="1" applyAlignment="1" applyProtection="1">
      <alignment horizontal="center" vertical="center"/>
    </xf>
    <xf numFmtId="164" fontId="91" fillId="5" borderId="2" xfId="2" applyNumberFormat="1" applyFont="1" applyFill="1" applyBorder="1" applyAlignment="1" applyProtection="1">
      <alignment horizontal="center" vertical="center"/>
    </xf>
    <xf numFmtId="0" fontId="0" fillId="0" borderId="0" xfId="0" applyAlignment="1">
      <alignment vertical="top"/>
    </xf>
    <xf numFmtId="0" fontId="4" fillId="0" borderId="0" xfId="0" quotePrefix="1" applyFont="1" applyAlignment="1">
      <alignment vertical="top"/>
    </xf>
    <xf numFmtId="0" fontId="28" fillId="0" borderId="0" xfId="3" applyFont="1" applyFill="1" applyAlignment="1">
      <alignment horizontal="left" vertical="top"/>
    </xf>
    <xf numFmtId="0" fontId="28" fillId="0" borderId="0" xfId="0" applyFont="1" applyFill="1" applyAlignment="1">
      <alignment vertical="top"/>
    </xf>
    <xf numFmtId="0" fontId="4" fillId="0" borderId="0" xfId="0" applyFont="1" applyAlignment="1">
      <alignment vertical="top"/>
    </xf>
    <xf numFmtId="0" fontId="88" fillId="0" borderId="0" xfId="0" applyFont="1" applyAlignment="1">
      <alignment vertical="top"/>
    </xf>
    <xf numFmtId="0" fontId="91" fillId="0" borderId="9" xfId="0" applyFont="1" applyFill="1" applyBorder="1" applyAlignment="1">
      <alignment horizontal="left" vertical="center"/>
    </xf>
    <xf numFmtId="164" fontId="92" fillId="2" borderId="9" xfId="2" applyNumberFormat="1" applyFont="1" applyFill="1" applyBorder="1" applyAlignment="1">
      <alignment horizontal="center" vertical="center"/>
    </xf>
    <xf numFmtId="0" fontId="92" fillId="0" borderId="8" xfId="0" applyFont="1" applyFill="1" applyBorder="1" applyAlignment="1">
      <alignment horizontal="left" vertical="center" indent="1"/>
    </xf>
    <xf numFmtId="0" fontId="92" fillId="0" borderId="6" xfId="0" applyFont="1" applyFill="1" applyBorder="1" applyAlignment="1">
      <alignment horizontal="left" vertical="center" indent="1"/>
    </xf>
    <xf numFmtId="3" fontId="92" fillId="2" borderId="14" xfId="0" applyNumberFormat="1" applyFont="1" applyFill="1" applyBorder="1" applyAlignment="1">
      <alignment horizontal="center" vertical="center"/>
    </xf>
    <xf numFmtId="3" fontId="92" fillId="2" borderId="15" xfId="0" applyNumberFormat="1" applyFont="1" applyFill="1" applyBorder="1" applyAlignment="1">
      <alignment horizontal="center" vertical="center"/>
    </xf>
    <xf numFmtId="9" fontId="92" fillId="0" borderId="2" xfId="2" quotePrefix="1" applyFont="1" applyFill="1" applyBorder="1" applyAlignment="1">
      <alignment horizontal="center" vertical="center"/>
    </xf>
    <xf numFmtId="3" fontId="92" fillId="0" borderId="2" xfId="2" applyNumberFormat="1" applyFont="1" applyFill="1" applyBorder="1" applyAlignment="1">
      <alignment horizontal="center" vertical="center" wrapText="1"/>
    </xf>
    <xf numFmtId="164" fontId="91" fillId="4" borderId="6" xfId="0" applyNumberFormat="1" applyFont="1" applyFill="1" applyBorder="1" applyAlignment="1">
      <alignment horizontal="center" vertical="center"/>
    </xf>
    <xf numFmtId="3" fontId="91" fillId="5" borderId="2" xfId="0" quotePrefix="1" applyNumberFormat="1" applyFont="1" applyFill="1" applyBorder="1" applyAlignment="1" applyProtection="1">
      <alignment horizontal="center" vertical="center"/>
    </xf>
    <xf numFmtId="3" fontId="91" fillId="0" borderId="2" xfId="0" quotePrefix="1" applyNumberFormat="1" applyFont="1" applyFill="1" applyBorder="1" applyAlignment="1" applyProtection="1">
      <alignment horizontal="center" vertical="center"/>
    </xf>
    <xf numFmtId="164" fontId="92" fillId="0" borderId="3" xfId="0" quotePrefix="1" applyNumberFormat="1" applyFont="1" applyBorder="1" applyAlignment="1">
      <alignment horizontal="center" vertical="center"/>
    </xf>
    <xf numFmtId="0" fontId="91" fillId="5" borderId="2" xfId="2" applyNumberFormat="1" applyFont="1" applyFill="1" applyBorder="1" applyAlignment="1">
      <alignment vertical="center"/>
    </xf>
    <xf numFmtId="164" fontId="7" fillId="0" borderId="0" xfId="11125" applyNumberFormat="1" applyFont="1" applyFill="1" applyAlignment="1">
      <alignment horizontal="right" vertical="center"/>
    </xf>
    <xf numFmtId="0" fontId="97" fillId="68" borderId="6" xfId="0" applyFont="1" applyFill="1" applyBorder="1" applyAlignment="1">
      <alignment vertical="center" wrapText="1"/>
    </xf>
    <xf numFmtId="164" fontId="97" fillId="0" borderId="2" xfId="0" quotePrefix="1" applyNumberFormat="1" applyFont="1" applyBorder="1" applyAlignment="1">
      <alignment horizontal="center" vertical="center"/>
    </xf>
    <xf numFmtId="164" fontId="92" fillId="69" borderId="2" xfId="2" applyNumberFormat="1" applyFont="1" applyFill="1" applyBorder="1" applyAlignment="1" applyProtection="1">
      <alignment horizontal="center" vertical="center"/>
    </xf>
    <xf numFmtId="164" fontId="92" fillId="69" borderId="2" xfId="2" quotePrefix="1" applyNumberFormat="1" applyFont="1" applyFill="1" applyBorder="1" applyAlignment="1" applyProtection="1">
      <alignment horizontal="center" vertical="center"/>
    </xf>
    <xf numFmtId="164" fontId="94" fillId="0" borderId="1" xfId="2" quotePrefix="1" applyNumberFormat="1" applyFont="1" applyFill="1" applyBorder="1" applyAlignment="1" applyProtection="1">
      <alignment horizontal="center" vertical="center"/>
    </xf>
    <xf numFmtId="0" fontId="85" fillId="0" borderId="0" xfId="11125" applyFont="1" applyFill="1" applyBorder="1" applyAlignment="1">
      <alignment horizontal="left" vertical="center"/>
    </xf>
    <xf numFmtId="0" fontId="5" fillId="0" borderId="0" xfId="11125" applyFill="1" applyAlignment="1" applyProtection="1">
      <alignment horizontal="left" vertical="center"/>
      <protection locked="0"/>
    </xf>
    <xf numFmtId="0" fontId="7" fillId="0" borderId="0" xfId="0" applyFont="1" applyFill="1" applyBorder="1" applyAlignment="1">
      <alignment vertical="center"/>
    </xf>
    <xf numFmtId="0" fontId="11" fillId="0" borderId="0" xfId="0" applyFont="1" applyFill="1" applyBorder="1" applyAlignment="1">
      <alignment vertical="center"/>
    </xf>
    <xf numFmtId="0" fontId="91" fillId="3" borderId="4" xfId="0" applyFont="1" applyFill="1" applyBorder="1" applyAlignment="1">
      <alignment horizontal="center" vertical="center" wrapText="1"/>
    </xf>
    <xf numFmtId="0" fontId="94" fillId="0" borderId="1" xfId="0" applyFont="1" applyFill="1" applyBorder="1" applyAlignment="1">
      <alignment horizontal="left" vertical="center"/>
    </xf>
    <xf numFmtId="3" fontId="92" fillId="66" borderId="2" xfId="0" applyNumberFormat="1" applyFont="1" applyFill="1" applyBorder="1" applyAlignment="1">
      <alignment horizontal="center" vertical="center"/>
    </xf>
    <xf numFmtId="3" fontId="91" fillId="67" borderId="2" xfId="0" applyNumberFormat="1" applyFont="1" applyFill="1" applyBorder="1" applyAlignment="1">
      <alignment horizontal="center" vertical="center"/>
    </xf>
    <xf numFmtId="3" fontId="91" fillId="70" borderId="2" xfId="0" applyNumberFormat="1" applyFont="1" applyFill="1" applyBorder="1" applyAlignment="1">
      <alignment horizontal="center" vertical="center"/>
    </xf>
    <xf numFmtId="1" fontId="91" fillId="69" borderId="1" xfId="0" applyNumberFormat="1" applyFont="1" applyFill="1" applyBorder="1" applyAlignment="1">
      <alignment horizontal="center" vertical="center"/>
    </xf>
    <xf numFmtId="1" fontId="91" fillId="67" borderId="2" xfId="0" applyNumberFormat="1" applyFont="1" applyFill="1" applyBorder="1" applyAlignment="1">
      <alignment horizontal="center" vertical="center"/>
    </xf>
    <xf numFmtId="1" fontId="91" fillId="70" borderId="2" xfId="0" applyNumberFormat="1" applyFont="1" applyFill="1" applyBorder="1" applyAlignment="1">
      <alignment horizontal="center" vertical="center"/>
    </xf>
    <xf numFmtId="1" fontId="92" fillId="69" borderId="1" xfId="0" applyNumberFormat="1" applyFont="1" applyFill="1" applyBorder="1" applyAlignment="1">
      <alignment horizontal="center" vertical="center"/>
    </xf>
    <xf numFmtId="1" fontId="92" fillId="67" borderId="2" xfId="0" applyNumberFormat="1" applyFont="1" applyFill="1" applyBorder="1" applyAlignment="1">
      <alignment horizontal="center" vertical="center"/>
    </xf>
    <xf numFmtId="1" fontId="92" fillId="70" borderId="2" xfId="0" applyNumberFormat="1" applyFont="1" applyFill="1" applyBorder="1" applyAlignment="1">
      <alignment horizontal="center" vertical="center"/>
    </xf>
    <xf numFmtId="1" fontId="92" fillId="69" borderId="4" xfId="1" applyNumberFormat="1" applyFont="1" applyFill="1" applyBorder="1" applyAlignment="1">
      <alignment horizontal="center" vertical="center"/>
    </xf>
    <xf numFmtId="0" fontId="92" fillId="66" borderId="2" xfId="0" applyFont="1" applyFill="1" applyBorder="1" applyAlignment="1">
      <alignment horizontal="left" vertical="center" indent="1"/>
    </xf>
    <xf numFmtId="0" fontId="92" fillId="0" borderId="9" xfId="0" applyFont="1" applyFill="1" applyBorder="1" applyAlignment="1">
      <alignment horizontal="left" vertical="center"/>
    </xf>
    <xf numFmtId="164" fontId="92" fillId="0" borderId="9" xfId="0" applyNumberFormat="1" applyFont="1" applyFill="1" applyBorder="1" applyAlignment="1">
      <alignment horizontal="center" vertical="center"/>
    </xf>
    <xf numFmtId="3" fontId="92" fillId="2" borderId="12" xfId="0" applyNumberFormat="1" applyFont="1" applyFill="1" applyBorder="1" applyAlignment="1">
      <alignment horizontal="center" vertical="center"/>
    </xf>
    <xf numFmtId="3" fontId="91" fillId="67" borderId="2" xfId="0" applyNumberFormat="1" applyFont="1" applyFill="1" applyBorder="1" applyAlignment="1" applyProtection="1">
      <alignment horizontal="center" vertical="center"/>
    </xf>
    <xf numFmtId="3" fontId="91" fillId="70" borderId="2" xfId="0" applyNumberFormat="1" applyFont="1" applyFill="1" applyBorder="1" applyAlignment="1" applyProtection="1">
      <alignment horizontal="center" vertical="center"/>
    </xf>
    <xf numFmtId="168" fontId="91" fillId="67" borderId="2" xfId="1" applyNumberFormat="1" applyFont="1" applyFill="1" applyBorder="1" applyAlignment="1">
      <alignment vertical="center"/>
    </xf>
    <xf numFmtId="168" fontId="91" fillId="70" borderId="2" xfId="1" applyNumberFormat="1" applyFont="1" applyFill="1" applyBorder="1" applyAlignment="1">
      <alignment vertical="center"/>
    </xf>
    <xf numFmtId="164" fontId="91" fillId="69" borderId="2" xfId="2" applyNumberFormat="1" applyFont="1" applyFill="1" applyBorder="1" applyAlignment="1">
      <alignment horizontal="center" vertical="center"/>
    </xf>
    <xf numFmtId="164" fontId="91" fillId="5" borderId="1" xfId="2" applyNumberFormat="1" applyFont="1" applyFill="1" applyBorder="1" applyAlignment="1" applyProtection="1">
      <alignment horizontal="center" vertical="center"/>
    </xf>
    <xf numFmtId="9" fontId="91" fillId="70" borderId="1" xfId="0" applyNumberFormat="1" applyFont="1" applyFill="1" applyBorder="1" applyAlignment="1">
      <alignment horizontal="center" vertical="center"/>
    </xf>
    <xf numFmtId="0" fontId="91" fillId="37" borderId="2" xfId="0" applyFont="1" applyFill="1" applyBorder="1" applyAlignment="1">
      <alignment horizontal="center" vertical="center" wrapText="1"/>
    </xf>
    <xf numFmtId="3" fontId="92" fillId="37" borderId="4" xfId="0" applyNumberFormat="1" applyFont="1" applyFill="1" applyBorder="1" applyAlignment="1" applyProtection="1">
      <alignment horizontal="center" vertical="center"/>
    </xf>
    <xf numFmtId="3" fontId="91" fillId="37" borderId="16" xfId="0" applyNumberFormat="1" applyFont="1" applyFill="1" applyBorder="1" applyAlignment="1" applyProtection="1">
      <alignment horizontal="center" vertical="center"/>
    </xf>
    <xf numFmtId="3" fontId="91" fillId="37" borderId="4" xfId="0" applyNumberFormat="1" applyFont="1" applyFill="1" applyBorder="1" applyAlignment="1" applyProtection="1">
      <alignment horizontal="center" vertical="center"/>
    </xf>
    <xf numFmtId="164" fontId="91" fillId="37" borderId="1" xfId="0" applyNumberFormat="1" applyFont="1" applyFill="1" applyBorder="1" applyAlignment="1">
      <alignment horizontal="center" vertical="center"/>
    </xf>
    <xf numFmtId="164" fontId="94" fillId="37" borderId="1" xfId="0" applyNumberFormat="1" applyFont="1" applyFill="1" applyBorder="1" applyAlignment="1">
      <alignment horizontal="center" vertical="center"/>
    </xf>
    <xf numFmtId="164" fontId="94" fillId="37" borderId="2" xfId="0" applyNumberFormat="1" applyFont="1" applyFill="1" applyBorder="1" applyAlignment="1">
      <alignment horizontal="center" vertical="center"/>
    </xf>
    <xf numFmtId="0" fontId="91" fillId="37" borderId="0" xfId="0" applyFont="1" applyFill="1" applyAlignment="1">
      <alignment horizontal="left" vertical="center"/>
    </xf>
    <xf numFmtId="0" fontId="91" fillId="37" borderId="0" xfId="0" applyFont="1" applyFill="1" applyAlignment="1">
      <alignment horizontal="center" vertical="center"/>
    </xf>
    <xf numFmtId="164" fontId="94" fillId="0" borderId="2" xfId="2" quotePrefix="1" applyNumberFormat="1" applyFont="1" applyFill="1" applyBorder="1" applyAlignment="1">
      <alignment horizontal="center" vertical="center"/>
    </xf>
    <xf numFmtId="3" fontId="92" fillId="69" borderId="4" xfId="1" applyNumberFormat="1" applyFont="1" applyFill="1" applyBorder="1" applyAlignment="1">
      <alignment horizontal="center" vertical="center"/>
    </xf>
    <xf numFmtId="3" fontId="92" fillId="67" borderId="2" xfId="1" applyNumberFormat="1" applyFont="1" applyFill="1" applyBorder="1" applyAlignment="1">
      <alignment horizontal="center" vertical="center"/>
    </xf>
    <xf numFmtId="3" fontId="92" fillId="70" borderId="2" xfId="1" applyNumberFormat="1" applyFont="1" applyFill="1" applyBorder="1" applyAlignment="1">
      <alignment horizontal="center" vertical="center"/>
    </xf>
    <xf numFmtId="0" fontId="81" fillId="0" borderId="35" xfId="11125" applyFont="1" applyFill="1" applyBorder="1" applyAlignment="1">
      <alignment vertical="center"/>
    </xf>
    <xf numFmtId="0" fontId="5" fillId="4" borderId="0" xfId="11125" applyFill="1" applyAlignment="1">
      <alignment horizontal="center" vertical="center"/>
    </xf>
    <xf numFmtId="10" fontId="5" fillId="4" borderId="0" xfId="11125" quotePrefix="1" applyNumberFormat="1" applyFill="1" applyAlignment="1">
      <alignment vertical="center"/>
    </xf>
    <xf numFmtId="0" fontId="74" fillId="68" borderId="0" xfId="11125" applyFont="1" applyFill="1" applyBorder="1" applyAlignment="1">
      <alignment horizontal="left" vertical="center"/>
    </xf>
    <xf numFmtId="0" fontId="83" fillId="68" borderId="0" xfId="11125" applyFont="1" applyFill="1" applyBorder="1" applyAlignment="1">
      <alignment horizontal="left" vertical="center"/>
    </xf>
    <xf numFmtId="0" fontId="85" fillId="68" borderId="0" xfId="11125" applyFont="1" applyFill="1" applyBorder="1" applyAlignment="1">
      <alignment horizontal="left" vertical="center"/>
    </xf>
    <xf numFmtId="0" fontId="85" fillId="68" borderId="0" xfId="11125" applyFont="1" applyFill="1" applyAlignment="1">
      <alignment horizontal="right" vertical="center"/>
    </xf>
    <xf numFmtId="0" fontId="85" fillId="68" borderId="0" xfId="11125" applyFont="1" applyFill="1" applyAlignment="1">
      <alignment vertical="center"/>
    </xf>
    <xf numFmtId="0" fontId="84" fillId="68" borderId="0" xfId="11125" applyFont="1" applyFill="1" applyAlignment="1">
      <alignment vertical="center"/>
    </xf>
    <xf numFmtId="0" fontId="5" fillId="68" borderId="0" xfId="11125" applyFont="1" applyFill="1" applyAlignment="1">
      <alignment vertical="center"/>
    </xf>
    <xf numFmtId="0" fontId="5" fillId="68" borderId="0" xfId="11125" applyFill="1" applyAlignment="1">
      <alignment vertical="center"/>
    </xf>
    <xf numFmtId="0" fontId="5" fillId="68" borderId="0" xfId="11125" applyFill="1" applyAlignment="1">
      <alignment horizontal="right" vertical="center"/>
    </xf>
    <xf numFmtId="0" fontId="85" fillId="68" borderId="0" xfId="11125" applyFont="1" applyFill="1" applyBorder="1" applyAlignment="1">
      <alignment horizontal="left" vertical="top"/>
    </xf>
    <xf numFmtId="0" fontId="109" fillId="4" borderId="0" xfId="11125" applyFont="1" applyFill="1" applyAlignment="1">
      <alignment vertical="center"/>
    </xf>
    <xf numFmtId="0" fontId="5" fillId="72" borderId="0" xfId="11125" applyFont="1" applyFill="1" applyAlignment="1">
      <alignment horizontal="center" vertical="center"/>
    </xf>
    <xf numFmtId="0" fontId="5" fillId="72" borderId="0" xfId="11125" applyFont="1" applyFill="1" applyAlignment="1" applyProtection="1">
      <alignment horizontal="center" vertical="center"/>
      <protection locked="0"/>
    </xf>
    <xf numFmtId="0" fontId="28" fillId="72" borderId="0" xfId="0" applyFont="1" applyFill="1" applyAlignment="1">
      <alignment horizontal="center"/>
    </xf>
    <xf numFmtId="0" fontId="5" fillId="4" borderId="0" xfId="11125" applyFont="1" applyFill="1" applyAlignment="1">
      <alignment vertical="center"/>
    </xf>
    <xf numFmtId="0" fontId="5" fillId="71" borderId="0" xfId="11125" applyFont="1" applyFill="1" applyAlignment="1">
      <alignment vertical="center"/>
    </xf>
    <xf numFmtId="0" fontId="5" fillId="4" borderId="0" xfId="11125" applyFont="1" applyFill="1" applyAlignment="1" applyProtection="1">
      <alignment horizontal="left" vertical="center"/>
      <protection locked="0"/>
    </xf>
    <xf numFmtId="0" fontId="5" fillId="4" borderId="0" xfId="0" applyFont="1" applyFill="1"/>
    <xf numFmtId="0" fontId="5" fillId="4" borderId="0" xfId="0" applyFont="1" applyFill="1" applyAlignment="1">
      <alignment horizontal="left"/>
    </xf>
    <xf numFmtId="0" fontId="5" fillId="4" borderId="0" xfId="0" applyFont="1" applyFill="1" applyAlignment="1">
      <alignment horizontal="right"/>
    </xf>
    <xf numFmtId="0" fontId="110" fillId="4" borderId="0" xfId="0" applyFont="1" applyFill="1"/>
    <xf numFmtId="0" fontId="110" fillId="4" borderId="0" xfId="0" applyFont="1" applyFill="1" applyAlignment="1">
      <alignment horizontal="right"/>
    </xf>
    <xf numFmtId="0" fontId="101" fillId="4" borderId="0" xfId="0" applyFont="1" applyFill="1"/>
    <xf numFmtId="0" fontId="101" fillId="4" borderId="0" xfId="0" applyFont="1" applyFill="1" applyAlignment="1">
      <alignment horizontal="right"/>
    </xf>
    <xf numFmtId="0" fontId="101" fillId="4" borderId="0" xfId="11125" applyFont="1" applyFill="1" applyAlignment="1">
      <alignment vertical="center"/>
    </xf>
    <xf numFmtId="0" fontId="107" fillId="0" borderId="0" xfId="0" applyFont="1" applyBorder="1"/>
    <xf numFmtId="0" fontId="107" fillId="0" borderId="40" xfId="0" applyFont="1" applyBorder="1"/>
    <xf numFmtId="0" fontId="107" fillId="0" borderId="0" xfId="0" applyFont="1"/>
    <xf numFmtId="0" fontId="107" fillId="66" borderId="0" xfId="0" applyFont="1" applyFill="1"/>
    <xf numFmtId="0" fontId="107" fillId="0" borderId="42" xfId="0" applyFont="1" applyBorder="1"/>
    <xf numFmtId="0" fontId="107" fillId="0" borderId="43" xfId="0" applyFont="1" applyBorder="1"/>
    <xf numFmtId="0" fontId="108" fillId="0" borderId="0" xfId="0" applyFont="1" applyAlignment="1"/>
    <xf numFmtId="0" fontId="108" fillId="66" borderId="0" xfId="0" applyFont="1" applyFill="1" applyAlignment="1"/>
    <xf numFmtId="0" fontId="108" fillId="38" borderId="0" xfId="0" applyFont="1" applyFill="1" applyAlignment="1"/>
    <xf numFmtId="0" fontId="108" fillId="0" borderId="0" xfId="0" applyFont="1"/>
    <xf numFmtId="0" fontId="108" fillId="66" borderId="0" xfId="0" applyFont="1" applyFill="1"/>
    <xf numFmtId="0" fontId="111" fillId="0" borderId="0" xfId="0" applyFont="1"/>
    <xf numFmtId="0" fontId="111" fillId="0" borderId="0" xfId="0" applyFont="1" applyAlignment="1"/>
    <xf numFmtId="0" fontId="112" fillId="0" borderId="0" xfId="0" applyFont="1" applyFill="1" applyBorder="1"/>
    <xf numFmtId="0" fontId="80" fillId="0" borderId="35" xfId="11125" applyFont="1" applyFill="1" applyBorder="1" applyAlignment="1">
      <alignment horizontal="right" vertical="center" wrapText="1"/>
    </xf>
    <xf numFmtId="0" fontId="80" fillId="0" borderId="35" xfId="11125" applyFont="1" applyFill="1" applyBorder="1" applyAlignment="1">
      <alignment horizontal="right" wrapText="1"/>
    </xf>
    <xf numFmtId="0" fontId="4" fillId="0" borderId="0" xfId="0" applyFont="1" applyBorder="1"/>
    <xf numFmtId="0" fontId="77" fillId="68" borderId="45" xfId="11125" applyFont="1" applyFill="1" applyBorder="1" applyAlignment="1">
      <alignment horizontal="left" vertical="center"/>
    </xf>
    <xf numFmtId="0" fontId="78" fillId="68" borderId="45" xfId="11125" applyFont="1" applyFill="1" applyBorder="1" applyAlignment="1">
      <alignment horizontal="left" vertical="center"/>
    </xf>
    <xf numFmtId="17" fontId="79" fillId="68" borderId="45" xfId="11125" quotePrefix="1" applyNumberFormat="1" applyFont="1" applyFill="1" applyBorder="1" applyAlignment="1">
      <alignment horizontal="left" vertical="center"/>
    </xf>
    <xf numFmtId="175" fontId="5" fillId="0" borderId="0" xfId="11125" applyNumberFormat="1" applyAlignment="1">
      <alignment vertical="center"/>
    </xf>
    <xf numFmtId="0" fontId="7" fillId="0" borderId="0" xfId="11125" applyNumberFormat="1" applyFont="1" applyFill="1" applyBorder="1" applyAlignment="1">
      <alignment horizontal="left" vertical="center" indent="1"/>
    </xf>
    <xf numFmtId="173" fontId="7" fillId="0" borderId="0" xfId="7220" quotePrefix="1" applyNumberFormat="1" applyFont="1" applyFill="1" applyBorder="1" applyAlignment="1" applyProtection="1">
      <alignment horizontal="right" vertical="center"/>
    </xf>
    <xf numFmtId="174" fontId="7" fillId="0" borderId="0" xfId="7220" quotePrefix="1" applyNumberFormat="1" applyFont="1" applyFill="1" applyBorder="1" applyAlignment="1" applyProtection="1">
      <alignment horizontal="right" vertical="center"/>
    </xf>
    <xf numFmtId="7" fontId="5" fillId="0" borderId="0" xfId="11125" applyNumberFormat="1" applyFill="1" applyAlignment="1">
      <alignment vertical="center"/>
    </xf>
    <xf numFmtId="0" fontId="7" fillId="0" borderId="45" xfId="11125" applyFont="1" applyFill="1" applyBorder="1" applyAlignment="1">
      <alignment horizontal="left" vertical="center"/>
    </xf>
    <xf numFmtId="0" fontId="7" fillId="0" borderId="45" xfId="11125" applyNumberFormat="1" applyFont="1" applyFill="1" applyBorder="1" applyAlignment="1">
      <alignment horizontal="left" vertical="center"/>
    </xf>
    <xf numFmtId="165" fontId="7" fillId="0" borderId="45" xfId="11125" quotePrefix="1" applyNumberFormat="1" applyFont="1" applyFill="1" applyBorder="1" applyAlignment="1">
      <alignment horizontal="right" vertical="center"/>
    </xf>
    <xf numFmtId="0" fontId="5" fillId="73" borderId="0" xfId="11125" applyFont="1" applyFill="1" applyAlignment="1">
      <alignment vertical="center"/>
    </xf>
    <xf numFmtId="168" fontId="5" fillId="4" borderId="0" xfId="1" applyNumberFormat="1" applyFont="1" applyFill="1" applyAlignment="1">
      <alignment vertical="center"/>
    </xf>
    <xf numFmtId="168" fontId="5" fillId="73" borderId="0" xfId="1" applyNumberFormat="1" applyFont="1" applyFill="1" applyAlignment="1">
      <alignment horizontal="right" vertical="center"/>
    </xf>
    <xf numFmtId="164" fontId="5" fillId="73" borderId="0" xfId="2" applyNumberFormat="1" applyFont="1" applyFill="1" applyAlignment="1">
      <alignment vertical="center"/>
    </xf>
    <xf numFmtId="164" fontId="5" fillId="4" borderId="0" xfId="2" applyNumberFormat="1" applyFont="1" applyFill="1" applyAlignment="1">
      <alignment vertical="center"/>
    </xf>
    <xf numFmtId="164" fontId="5" fillId="4" borderId="0" xfId="2" applyNumberFormat="1" applyFont="1" applyFill="1" applyAlignment="1">
      <alignment horizontal="right" vertical="center"/>
    </xf>
    <xf numFmtId="164" fontId="5" fillId="73" borderId="0" xfId="2" applyNumberFormat="1" applyFont="1" applyFill="1" applyAlignment="1">
      <alignment horizontal="right" vertical="center"/>
    </xf>
    <xf numFmtId="176" fontId="5" fillId="4" borderId="0" xfId="7220" applyNumberFormat="1" applyFont="1" applyFill="1" applyAlignment="1">
      <alignment vertical="center"/>
    </xf>
    <xf numFmtId="0" fontId="5" fillId="73" borderId="0" xfId="11125" applyFont="1" applyFill="1" applyAlignment="1">
      <alignment horizontal="right" vertical="center"/>
    </xf>
    <xf numFmtId="165" fontId="5" fillId="4" borderId="0" xfId="1" applyNumberFormat="1" applyFont="1" applyFill="1" applyAlignment="1">
      <alignment horizontal="right"/>
    </xf>
    <xf numFmtId="2" fontId="5" fillId="4" borderId="0" xfId="1" applyNumberFormat="1" applyFont="1" applyFill="1" applyAlignment="1">
      <alignment vertical="center"/>
    </xf>
    <xf numFmtId="165" fontId="110" fillId="4" borderId="0" xfId="1" applyNumberFormat="1" applyFont="1" applyFill="1" applyAlignment="1">
      <alignment horizontal="right"/>
    </xf>
    <xf numFmtId="0" fontId="5" fillId="73" borderId="0" xfId="0" applyFont="1" applyFill="1" applyAlignment="1">
      <alignment horizontal="right"/>
    </xf>
    <xf numFmtId="0" fontId="0" fillId="0" borderId="0" xfId="0" applyAlignment="1">
      <alignment horizontal="left"/>
    </xf>
    <xf numFmtId="0" fontId="4" fillId="0" borderId="0" xfId="0" applyFont="1" applyAlignment="1">
      <alignment horizontal="left"/>
    </xf>
    <xf numFmtId="0" fontId="4" fillId="66" borderId="0" xfId="0" applyFont="1" applyFill="1" applyAlignment="1">
      <alignment horizontal="left"/>
    </xf>
    <xf numFmtId="3" fontId="4" fillId="66" borderId="0" xfId="0" applyNumberFormat="1" applyFont="1" applyFill="1" applyAlignment="1">
      <alignment horizontal="left"/>
    </xf>
    <xf numFmtId="1" fontId="4" fillId="66" borderId="0" xfId="0" applyNumberFormat="1" applyFont="1" applyFill="1" applyAlignment="1">
      <alignment horizontal="left"/>
    </xf>
    <xf numFmtId="0" fontId="102" fillId="0" borderId="46" xfId="11125" applyFont="1" applyFill="1" applyBorder="1" applyAlignment="1">
      <alignment vertical="center"/>
    </xf>
    <xf numFmtId="177" fontId="94" fillId="0" borderId="1" xfId="0" applyNumberFormat="1" applyFont="1" applyFill="1" applyBorder="1" applyAlignment="1">
      <alignment horizontal="center" vertical="center"/>
    </xf>
    <xf numFmtId="178" fontId="92" fillId="0" borderId="2" xfId="0" applyNumberFormat="1" applyFont="1" applyBorder="1" applyAlignment="1">
      <alignment horizontal="center" vertical="center"/>
    </xf>
    <xf numFmtId="178" fontId="92" fillId="0" borderId="2" xfId="0" applyNumberFormat="1" applyFont="1" applyFill="1" applyBorder="1" applyAlignment="1">
      <alignment horizontal="center" vertical="center"/>
    </xf>
    <xf numFmtId="178" fontId="92" fillId="0" borderId="6" xfId="0" applyNumberFormat="1" applyFont="1" applyFill="1" applyBorder="1" applyAlignment="1">
      <alignment horizontal="center" vertical="center"/>
    </xf>
    <xf numFmtId="178" fontId="92" fillId="0" borderId="6" xfId="0" applyNumberFormat="1" applyFont="1" applyBorder="1" applyAlignment="1">
      <alignment horizontal="center" vertical="center"/>
    </xf>
    <xf numFmtId="178" fontId="92" fillId="0" borderId="4" xfId="0" applyNumberFormat="1" applyFont="1" applyBorder="1" applyAlignment="1">
      <alignment horizontal="center" vertical="center"/>
    </xf>
    <xf numFmtId="178" fontId="92" fillId="0" borderId="8" xfId="0" applyNumberFormat="1" applyFont="1" applyBorder="1" applyAlignment="1">
      <alignment horizontal="center" vertical="center"/>
    </xf>
    <xf numFmtId="0" fontId="7" fillId="0" borderId="0" xfId="11125" applyFont="1" applyFill="1" applyBorder="1" applyAlignment="1">
      <alignment horizontal="left" vertical="center" wrapText="1"/>
    </xf>
    <xf numFmtId="0" fontId="7" fillId="0" borderId="9" xfId="0" applyFont="1" applyBorder="1" applyAlignment="1">
      <alignment vertical="center"/>
    </xf>
    <xf numFmtId="0" fontId="91" fillId="0" borderId="2" xfId="0" applyFont="1" applyFill="1" applyBorder="1" applyAlignment="1">
      <alignment horizontal="left" vertical="center" wrapText="1" indent="1"/>
    </xf>
    <xf numFmtId="3" fontId="91" fillId="2" borderId="2" xfId="0" applyNumberFormat="1" applyFont="1" applyFill="1" applyBorder="1" applyAlignment="1">
      <alignment horizontal="center" vertical="center" wrapText="1"/>
    </xf>
    <xf numFmtId="0" fontId="91" fillId="0" borderId="1" xfId="0" applyFont="1" applyFill="1" applyBorder="1" applyAlignment="1">
      <alignment horizontal="left" vertical="center" wrapText="1" indent="1"/>
    </xf>
    <xf numFmtId="10" fontId="7" fillId="0" borderId="0" xfId="2" applyNumberFormat="1" applyFont="1" applyAlignment="1">
      <alignment vertical="center"/>
    </xf>
    <xf numFmtId="3" fontId="91" fillId="0" borderId="2" xfId="0" applyNumberFormat="1" applyFont="1" applyFill="1" applyBorder="1" applyAlignment="1">
      <alignment horizontal="center" vertical="center"/>
    </xf>
    <xf numFmtId="179" fontId="7" fillId="0" borderId="0" xfId="11126" quotePrefix="1" applyNumberFormat="1" applyFont="1" applyFill="1" applyBorder="1" applyAlignment="1">
      <alignment horizontal="right" vertical="center"/>
    </xf>
    <xf numFmtId="179" fontId="7" fillId="0" borderId="0" xfId="11125" quotePrefix="1" applyNumberFormat="1" applyFont="1" applyFill="1" applyBorder="1" applyAlignment="1">
      <alignment horizontal="right" vertical="center"/>
    </xf>
    <xf numFmtId="164" fontId="7" fillId="0" borderId="0" xfId="11126" applyNumberFormat="1" applyFont="1" applyFill="1" applyBorder="1" applyAlignment="1">
      <alignment horizontal="right" vertical="center"/>
    </xf>
    <xf numFmtId="3" fontId="0" fillId="0" borderId="0" xfId="0" applyNumberFormat="1" applyAlignment="1">
      <alignment horizontal="left"/>
    </xf>
    <xf numFmtId="1" fontId="0" fillId="0" borderId="0" xfId="0" applyNumberFormat="1" applyAlignment="1">
      <alignment horizontal="left"/>
    </xf>
    <xf numFmtId="9" fontId="0" fillId="0" borderId="0" xfId="0" applyNumberFormat="1" applyAlignment="1">
      <alignment horizontal="left"/>
    </xf>
    <xf numFmtId="2" fontId="0" fillId="0" borderId="0" xfId="0" applyNumberFormat="1" applyAlignment="1">
      <alignment horizontal="left"/>
    </xf>
    <xf numFmtId="49" fontId="0" fillId="0" borderId="0" xfId="0" applyNumberFormat="1" applyAlignment="1">
      <alignment horizontal="left"/>
    </xf>
    <xf numFmtId="3" fontId="4" fillId="0" borderId="0" xfId="0" applyNumberFormat="1" applyFont="1" applyFill="1" applyAlignment="1">
      <alignment horizontal="left"/>
    </xf>
    <xf numFmtId="180" fontId="92" fillId="5" borderId="0" xfId="0" applyNumberFormat="1" applyFont="1" applyFill="1" applyBorder="1" applyAlignment="1">
      <alignment horizontal="center" vertical="center"/>
    </xf>
    <xf numFmtId="180" fontId="92" fillId="0" borderId="0" xfId="0" applyNumberFormat="1" applyFont="1" applyBorder="1" applyAlignment="1">
      <alignment horizontal="center" vertical="center"/>
    </xf>
    <xf numFmtId="180" fontId="92" fillId="5" borderId="12" xfId="0" applyNumberFormat="1" applyFont="1" applyFill="1" applyBorder="1" applyAlignment="1">
      <alignment horizontal="center" vertical="center"/>
    </xf>
    <xf numFmtId="180" fontId="92" fillId="0" borderId="12" xfId="0" applyNumberFormat="1" applyFont="1" applyBorder="1" applyAlignment="1">
      <alignment horizontal="center" vertical="center"/>
    </xf>
    <xf numFmtId="164" fontId="91" fillId="5" borderId="5" xfId="0" quotePrefix="1" applyNumberFormat="1" applyFont="1" applyFill="1" applyBorder="1" applyAlignment="1">
      <alignment horizontal="center" vertical="center"/>
    </xf>
    <xf numFmtId="179" fontId="91" fillId="5" borderId="2" xfId="0" applyNumberFormat="1" applyFont="1" applyFill="1" applyBorder="1" applyAlignment="1">
      <alignment horizontal="center" vertical="center"/>
    </xf>
    <xf numFmtId="179" fontId="92" fillId="2" borderId="2" xfId="0" applyNumberFormat="1" applyFont="1" applyFill="1" applyBorder="1" applyAlignment="1">
      <alignment horizontal="center" vertical="center"/>
    </xf>
    <xf numFmtId="179" fontId="92" fillId="0" borderId="2" xfId="0" applyNumberFormat="1" applyFont="1" applyBorder="1" applyAlignment="1">
      <alignment horizontal="center" vertical="center"/>
    </xf>
    <xf numFmtId="179" fontId="92" fillId="0" borderId="10" xfId="0" applyNumberFormat="1" applyFont="1" applyBorder="1" applyAlignment="1">
      <alignment horizontal="center" vertical="center"/>
    </xf>
    <xf numFmtId="179" fontId="92" fillId="0" borderId="10" xfId="0" applyNumberFormat="1" applyFont="1" applyFill="1" applyBorder="1" applyAlignment="1">
      <alignment horizontal="center" vertical="center"/>
    </xf>
    <xf numFmtId="179" fontId="92" fillId="0" borderId="4" xfId="0" applyNumberFormat="1" applyFont="1" applyBorder="1" applyAlignment="1">
      <alignment horizontal="center" vertical="center"/>
    </xf>
    <xf numFmtId="179" fontId="92" fillId="0" borderId="7" xfId="0" applyNumberFormat="1" applyFont="1" applyFill="1" applyBorder="1" applyAlignment="1">
      <alignment horizontal="center" vertical="center"/>
    </xf>
    <xf numFmtId="179" fontId="92" fillId="0" borderId="2" xfId="0" applyNumberFormat="1" applyFont="1" applyFill="1" applyBorder="1" applyAlignment="1">
      <alignment horizontal="center" vertical="center"/>
    </xf>
    <xf numFmtId="179" fontId="92" fillId="0" borderId="12" xfId="0" applyNumberFormat="1" applyFont="1" applyFill="1" applyBorder="1" applyAlignment="1">
      <alignment horizontal="center" vertical="center"/>
    </xf>
    <xf numFmtId="179" fontId="92" fillId="0" borderId="2" xfId="0" applyNumberFormat="1" applyFont="1" applyFill="1" applyBorder="1" applyAlignment="1">
      <alignment horizontal="center" vertical="center" wrapText="1"/>
    </xf>
    <xf numFmtId="3" fontId="91" fillId="5" borderId="1" xfId="0" quotePrefix="1" applyNumberFormat="1" applyFont="1" applyFill="1" applyBorder="1" applyAlignment="1">
      <alignment horizontal="center" vertical="center" wrapText="1"/>
    </xf>
    <xf numFmtId="0" fontId="92" fillId="0" borderId="2" xfId="0" quotePrefix="1" applyFont="1" applyBorder="1" applyAlignment="1">
      <alignment horizontal="center" vertical="center"/>
    </xf>
    <xf numFmtId="0" fontId="0" fillId="0" borderId="0" xfId="0" applyAlignment="1">
      <alignment horizontal="right"/>
    </xf>
    <xf numFmtId="164" fontId="92" fillId="0" borderId="4" xfId="2" applyNumberFormat="1" applyFont="1" applyFill="1" applyBorder="1" applyAlignment="1">
      <alignment horizontal="center" vertical="center"/>
    </xf>
    <xf numFmtId="0" fontId="115" fillId="0" borderId="0" xfId="0" applyFont="1" applyAlignment="1">
      <alignment horizontal="left" vertical="top" wrapText="1"/>
    </xf>
    <xf numFmtId="4" fontId="7" fillId="0" borderId="0" xfId="11126" quotePrefix="1" applyNumberFormat="1" applyFont="1" applyFill="1" applyBorder="1" applyAlignment="1">
      <alignment horizontal="right" vertical="center"/>
    </xf>
    <xf numFmtId="3" fontId="92" fillId="0" borderId="1" xfId="0" applyNumberFormat="1" applyFont="1" applyFill="1" applyBorder="1" applyAlignment="1">
      <alignment horizontal="center" vertical="center"/>
    </xf>
    <xf numFmtId="3" fontId="92" fillId="0" borderId="7" xfId="0" applyNumberFormat="1" applyFont="1" applyFill="1" applyBorder="1" applyAlignment="1">
      <alignment horizontal="center" vertical="center"/>
    </xf>
    <xf numFmtId="3" fontId="92" fillId="0" borderId="4" xfId="0" applyNumberFormat="1" applyFont="1" applyFill="1" applyBorder="1" applyAlignment="1">
      <alignment horizontal="center" vertical="center"/>
    </xf>
    <xf numFmtId="167" fontId="91" fillId="70" borderId="2" xfId="0" applyNumberFormat="1" applyFont="1" applyFill="1" applyBorder="1" applyAlignment="1" applyProtection="1">
      <alignment horizontal="center" vertical="center"/>
    </xf>
    <xf numFmtId="167" fontId="91" fillId="67" borderId="2" xfId="0" applyNumberFormat="1" applyFont="1" applyFill="1" applyBorder="1" applyAlignment="1" applyProtection="1">
      <alignment horizontal="center" vertical="center"/>
    </xf>
    <xf numFmtId="167" fontId="92" fillId="0" borderId="2" xfId="0" applyNumberFormat="1" applyFont="1" applyFill="1" applyBorder="1" applyAlignment="1" applyProtection="1">
      <alignment horizontal="center" vertical="center"/>
    </xf>
    <xf numFmtId="167" fontId="92" fillId="0" borderId="1" xfId="0" applyNumberFormat="1" applyFont="1" applyFill="1" applyBorder="1" applyAlignment="1" applyProtection="1">
      <alignment horizontal="center" vertical="center"/>
    </xf>
    <xf numFmtId="167" fontId="92" fillId="0" borderId="4" xfId="0" applyNumberFormat="1" applyFont="1" applyFill="1" applyBorder="1" applyAlignment="1" applyProtection="1">
      <alignment horizontal="center" vertical="center"/>
    </xf>
    <xf numFmtId="2" fontId="92" fillId="68" borderId="14" xfId="0" applyNumberFormat="1" applyFont="1" applyFill="1" applyBorder="1" applyAlignment="1">
      <alignment horizontal="center" vertical="center"/>
    </xf>
    <xf numFmtId="180" fontId="92" fillId="0" borderId="11" xfId="0" applyNumberFormat="1" applyFont="1" applyBorder="1" applyAlignment="1">
      <alignment horizontal="center" vertical="center"/>
    </xf>
    <xf numFmtId="180" fontId="92" fillId="5" borderId="11" xfId="0" applyNumberFormat="1" applyFont="1" applyFill="1" applyBorder="1" applyAlignment="1">
      <alignment horizontal="center" vertical="center"/>
    </xf>
    <xf numFmtId="180" fontId="92" fillId="0" borderId="13" xfId="0" applyNumberFormat="1" applyFont="1" applyBorder="1" applyAlignment="1">
      <alignment horizontal="center" vertical="center"/>
    </xf>
    <xf numFmtId="180" fontId="92" fillId="5" borderId="13" xfId="0" applyNumberFormat="1"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91" fillId="68" borderId="6" xfId="0" applyFont="1" applyFill="1" applyBorder="1" applyAlignment="1">
      <alignment horizontal="left" vertical="center"/>
    </xf>
    <xf numFmtId="0" fontId="91" fillId="68" borderId="16" xfId="0" applyFont="1" applyFill="1" applyBorder="1" applyAlignment="1">
      <alignment horizontal="left" vertical="center"/>
    </xf>
    <xf numFmtId="0" fontId="91" fillId="68" borderId="15" xfId="0" applyFont="1" applyFill="1" applyBorder="1" applyAlignment="1">
      <alignment horizontal="left" vertical="center"/>
    </xf>
    <xf numFmtId="0" fontId="6" fillId="0" borderId="0" xfId="0" applyFont="1" applyBorder="1" applyAlignment="1">
      <alignment horizontal="center" vertical="center"/>
    </xf>
    <xf numFmtId="0" fontId="92" fillId="0" borderId="0" xfId="0" applyFont="1" applyFill="1" applyBorder="1" applyAlignment="1">
      <alignment horizontal="left" vertical="center" wrapText="1"/>
    </xf>
    <xf numFmtId="0" fontId="91" fillId="5" borderId="6" xfId="0" applyFont="1" applyFill="1" applyBorder="1" applyAlignment="1">
      <alignment horizontal="left" vertical="center"/>
    </xf>
    <xf numFmtId="0" fontId="92" fillId="2" borderId="0" xfId="0" applyFont="1" applyFill="1" applyBorder="1" applyAlignment="1">
      <alignment horizontal="left" vertical="center"/>
    </xf>
    <xf numFmtId="0" fontId="91" fillId="68" borderId="16" xfId="0" applyFont="1" applyFill="1" applyBorder="1" applyAlignment="1">
      <alignment vertical="center" wrapText="1"/>
    </xf>
    <xf numFmtId="0" fontId="91" fillId="68" borderId="15" xfId="0" applyFont="1" applyFill="1" applyBorder="1" applyAlignment="1">
      <alignment vertical="center" wrapText="1"/>
    </xf>
    <xf numFmtId="0" fontId="91" fillId="5" borderId="6" xfId="0" applyFont="1" applyFill="1" applyBorder="1" applyAlignment="1">
      <alignment horizontal="left" vertical="center" wrapText="1"/>
    </xf>
    <xf numFmtId="0" fontId="92" fillId="0" borderId="0" xfId="0" applyFont="1" applyAlignment="1">
      <alignment horizontal="left" vertical="top" wrapText="1"/>
    </xf>
    <xf numFmtId="165" fontId="91" fillId="5" borderId="2" xfId="2" applyNumberFormat="1" applyFont="1" applyFill="1" applyBorder="1" applyAlignment="1">
      <alignment horizontal="center" vertical="center"/>
    </xf>
    <xf numFmtId="164" fontId="91" fillId="69" borderId="2" xfId="2" quotePrefix="1" applyNumberFormat="1" applyFont="1" applyFill="1" applyBorder="1" applyAlignment="1" applyProtection="1">
      <alignment horizontal="center" vertical="center"/>
    </xf>
    <xf numFmtId="2" fontId="91" fillId="67" borderId="2" xfId="1" applyNumberFormat="1" applyFont="1" applyFill="1" applyBorder="1" applyAlignment="1">
      <alignment vertical="center"/>
    </xf>
    <xf numFmtId="10" fontId="92" fillId="69" borderId="1" xfId="0" applyNumberFormat="1" applyFont="1" applyFill="1" applyBorder="1" applyAlignment="1">
      <alignment horizontal="center" vertical="center"/>
    </xf>
    <xf numFmtId="10" fontId="92" fillId="67" borderId="2" xfId="0" applyNumberFormat="1" applyFont="1" applyFill="1" applyBorder="1" applyAlignment="1">
      <alignment horizontal="center" vertical="center"/>
    </xf>
    <xf numFmtId="10" fontId="92" fillId="70" borderId="2" xfId="0" applyNumberFormat="1" applyFont="1" applyFill="1" applyBorder="1" applyAlignment="1">
      <alignment horizontal="center" vertical="center"/>
    </xf>
    <xf numFmtId="0" fontId="116" fillId="3" borderId="6" xfId="0" applyFont="1" applyFill="1" applyBorder="1" applyAlignment="1">
      <alignment horizontal="left" vertical="center"/>
    </xf>
    <xf numFmtId="0" fontId="92" fillId="0" borderId="5" xfId="0" applyFont="1" applyFill="1" applyBorder="1" applyAlignment="1">
      <alignment horizontal="left" vertical="center" wrapText="1"/>
    </xf>
    <xf numFmtId="3" fontId="92" fillId="0" borderId="1" xfId="1" applyNumberFormat="1" applyFont="1" applyFill="1" applyBorder="1" applyAlignment="1">
      <alignment horizontal="center" vertical="center"/>
    </xf>
    <xf numFmtId="1" fontId="92" fillId="67" borderId="1" xfId="0" applyNumberFormat="1" applyFont="1" applyFill="1" applyBorder="1" applyAlignment="1">
      <alignment horizontal="center" vertical="center"/>
    </xf>
    <xf numFmtId="1" fontId="92" fillId="70" borderId="1" xfId="0" applyNumberFormat="1" applyFont="1" applyFill="1" applyBorder="1" applyAlignment="1">
      <alignment horizontal="center" vertical="center"/>
    </xf>
    <xf numFmtId="3" fontId="92" fillId="67" borderId="3" xfId="0" applyNumberFormat="1" applyFont="1" applyFill="1" applyBorder="1" applyAlignment="1">
      <alignment horizontal="center" vertical="center"/>
    </xf>
    <xf numFmtId="3" fontId="92" fillId="70" borderId="3" xfId="0" applyNumberFormat="1" applyFont="1" applyFill="1" applyBorder="1" applyAlignment="1">
      <alignment horizontal="center" vertical="center"/>
    </xf>
    <xf numFmtId="3" fontId="94" fillId="67" borderId="1" xfId="0" applyNumberFormat="1" applyFont="1" applyFill="1" applyBorder="1" applyAlignment="1">
      <alignment horizontal="center" vertical="center"/>
    </xf>
    <xf numFmtId="3" fontId="94" fillId="70" borderId="1" xfId="0" applyNumberFormat="1" applyFont="1" applyFill="1" applyBorder="1" applyAlignment="1">
      <alignment horizontal="center" vertical="center"/>
    </xf>
    <xf numFmtId="3" fontId="94" fillId="67" borderId="2" xfId="0" applyNumberFormat="1" applyFont="1" applyFill="1" applyBorder="1" applyAlignment="1">
      <alignment horizontal="center" vertical="center"/>
    </xf>
    <xf numFmtId="3" fontId="94" fillId="70" borderId="2" xfId="0" applyNumberFormat="1" applyFont="1" applyFill="1" applyBorder="1" applyAlignment="1">
      <alignment horizontal="center" vertical="center"/>
    </xf>
    <xf numFmtId="3" fontId="92" fillId="70" borderId="1" xfId="0" applyNumberFormat="1" applyFont="1" applyFill="1" applyBorder="1" applyAlignment="1">
      <alignment horizontal="center" vertical="center"/>
    </xf>
    <xf numFmtId="171" fontId="92" fillId="67" borderId="2" xfId="0" applyNumberFormat="1" applyFont="1" applyFill="1" applyBorder="1" applyAlignment="1">
      <alignment horizontal="center" vertical="center"/>
    </xf>
    <xf numFmtId="171" fontId="92" fillId="70" borderId="2" xfId="0" applyNumberFormat="1" applyFont="1" applyFill="1" applyBorder="1" applyAlignment="1">
      <alignment horizontal="center" vertical="center"/>
    </xf>
    <xf numFmtId="164" fontId="7" fillId="0" borderId="0" xfId="10483" quotePrefix="1" applyNumberFormat="1" applyFont="1" applyFill="1" applyBorder="1" applyAlignment="1">
      <alignment horizontal="right" vertical="center"/>
    </xf>
    <xf numFmtId="164" fontId="7" fillId="0" borderId="0" xfId="10483" quotePrefix="1" applyNumberFormat="1" applyFont="1" applyFill="1" applyBorder="1" applyAlignment="1" applyProtection="1">
      <alignment horizontal="right" vertical="center"/>
    </xf>
    <xf numFmtId="179" fontId="92" fillId="0" borderId="7" xfId="0" applyNumberFormat="1" applyFont="1" applyBorder="1" applyAlignment="1">
      <alignment horizontal="center" vertical="center"/>
    </xf>
    <xf numFmtId="164" fontId="92" fillId="0" borderId="2" xfId="0" applyNumberFormat="1" applyFont="1" applyFill="1" applyBorder="1" applyAlignment="1">
      <alignment horizontal="left" vertical="center"/>
    </xf>
    <xf numFmtId="9" fontId="94" fillId="0" borderId="2" xfId="2" applyNumberFormat="1" applyFont="1" applyFill="1" applyBorder="1" applyAlignment="1">
      <alignment horizontal="center" vertical="center"/>
    </xf>
    <xf numFmtId="9" fontId="92" fillId="0" borderId="6" xfId="0" quotePrefix="1" applyNumberFormat="1" applyFont="1" applyFill="1" applyBorder="1" applyAlignment="1">
      <alignment horizontal="center" vertical="center"/>
    </xf>
    <xf numFmtId="9" fontId="92" fillId="0" borderId="2" xfId="0" quotePrefix="1" applyNumberFormat="1" applyFont="1" applyFill="1" applyBorder="1" applyAlignment="1">
      <alignment horizontal="center" vertical="center"/>
    </xf>
    <xf numFmtId="164" fontId="92" fillId="0" borderId="0" xfId="0" applyNumberFormat="1" applyFont="1" applyFill="1" applyBorder="1" applyAlignment="1">
      <alignment horizontal="left" vertical="center"/>
    </xf>
    <xf numFmtId="164" fontId="94" fillId="0" borderId="0" xfId="0" applyNumberFormat="1" applyFont="1" applyFill="1" applyBorder="1" applyAlignment="1">
      <alignment horizontal="center" vertical="center"/>
    </xf>
    <xf numFmtId="0" fontId="116" fillId="3" borderId="8" xfId="0" applyFont="1" applyFill="1" applyBorder="1" applyAlignment="1">
      <alignment horizontal="left" vertical="center"/>
    </xf>
    <xf numFmtId="3" fontId="92" fillId="67" borderId="2" xfId="0" applyNumberFormat="1" applyFont="1" applyFill="1" applyBorder="1" applyAlignment="1">
      <alignment horizontal="center" vertical="center" wrapText="1"/>
    </xf>
    <xf numFmtId="164" fontId="91" fillId="5" borderId="2" xfId="2" quotePrefix="1" applyNumberFormat="1" applyFont="1" applyFill="1" applyBorder="1" applyAlignment="1">
      <alignment horizontal="center" vertical="center"/>
    </xf>
    <xf numFmtId="168" fontId="91" fillId="67" borderId="2" xfId="1" applyNumberFormat="1" applyFont="1" applyFill="1" applyBorder="1" applyAlignment="1">
      <alignment horizontal="center" vertical="center"/>
    </xf>
    <xf numFmtId="168" fontId="92" fillId="67" borderId="2" xfId="1" applyNumberFormat="1" applyFont="1" applyFill="1" applyBorder="1" applyAlignment="1">
      <alignment horizontal="center" vertical="center"/>
    </xf>
    <xf numFmtId="1" fontId="92" fillId="67" borderId="13" xfId="1" applyNumberFormat="1" applyFont="1" applyFill="1" applyBorder="1" applyAlignment="1">
      <alignment horizontal="center" vertical="center"/>
    </xf>
    <xf numFmtId="1" fontId="92" fillId="70" borderId="1" xfId="1" applyNumberFormat="1" applyFont="1" applyFill="1" applyBorder="1" applyAlignment="1">
      <alignment horizontal="center" vertical="center"/>
    </xf>
    <xf numFmtId="1" fontId="92" fillId="67" borderId="15" xfId="1" applyNumberFormat="1" applyFont="1" applyFill="1" applyBorder="1" applyAlignment="1">
      <alignment horizontal="center" vertical="center"/>
    </xf>
    <xf numFmtId="1" fontId="92" fillId="70" borderId="2" xfId="1" applyNumberFormat="1" applyFont="1" applyFill="1" applyBorder="1" applyAlignment="1">
      <alignment horizontal="center" vertical="center"/>
    </xf>
    <xf numFmtId="164" fontId="91" fillId="67" borderId="2" xfId="2" applyNumberFormat="1" applyFont="1" applyFill="1" applyBorder="1" applyAlignment="1">
      <alignment horizontal="center" vertical="center"/>
    </xf>
    <xf numFmtId="166" fontId="92" fillId="67" borderId="2" xfId="0" applyNumberFormat="1" applyFont="1" applyFill="1" applyBorder="1" applyAlignment="1">
      <alignment horizontal="center" vertical="center"/>
    </xf>
    <xf numFmtId="167" fontId="91" fillId="67" borderId="15" xfId="0" applyNumberFormat="1" applyFont="1" applyFill="1" applyBorder="1" applyAlignment="1" applyProtection="1">
      <alignment horizontal="center" vertical="center"/>
    </xf>
    <xf numFmtId="167" fontId="92" fillId="67" borderId="15" xfId="0" applyNumberFormat="1" applyFont="1" applyFill="1" applyBorder="1" applyAlignment="1" applyProtection="1">
      <alignment horizontal="center" vertical="center"/>
    </xf>
    <xf numFmtId="167" fontId="92" fillId="70" borderId="2" xfId="0" applyNumberFormat="1" applyFont="1" applyFill="1" applyBorder="1" applyAlignment="1" applyProtection="1">
      <alignment horizontal="center" vertical="center"/>
    </xf>
    <xf numFmtId="167" fontId="92" fillId="67" borderId="13" xfId="0" applyNumberFormat="1" applyFont="1" applyFill="1" applyBorder="1" applyAlignment="1" applyProtection="1">
      <alignment horizontal="center" vertical="center"/>
    </xf>
    <xf numFmtId="167" fontId="92" fillId="70" borderId="1" xfId="0" applyNumberFormat="1" applyFont="1" applyFill="1" applyBorder="1" applyAlignment="1" applyProtection="1">
      <alignment horizontal="center" vertical="center"/>
    </xf>
    <xf numFmtId="164" fontId="92" fillId="69" borderId="2" xfId="0" applyNumberFormat="1" applyFont="1" applyFill="1" applyBorder="1" applyAlignment="1">
      <alignment horizontal="center" vertical="center"/>
    </xf>
    <xf numFmtId="3" fontId="92" fillId="67" borderId="15" xfId="0" applyNumberFormat="1" applyFont="1" applyFill="1" applyBorder="1" applyAlignment="1">
      <alignment horizontal="center" vertical="center"/>
    </xf>
    <xf numFmtId="0" fontId="96" fillId="0" borderId="0" xfId="0" applyFont="1" applyBorder="1" applyAlignment="1">
      <alignment horizontal="left" vertical="center"/>
    </xf>
    <xf numFmtId="1" fontId="91" fillId="69" borderId="4" xfId="0" applyNumberFormat="1" applyFont="1" applyFill="1" applyBorder="1" applyAlignment="1">
      <alignment horizontal="center" vertical="center"/>
    </xf>
    <xf numFmtId="1" fontId="92" fillId="69" borderId="4" xfId="0" applyNumberFormat="1" applyFont="1" applyFill="1" applyBorder="1" applyAlignment="1">
      <alignment horizontal="center" vertical="center"/>
    </xf>
    <xf numFmtId="2" fontId="91" fillId="70" borderId="2" xfId="1" applyNumberFormat="1" applyFont="1" applyFill="1" applyBorder="1" applyAlignment="1">
      <alignment vertical="center"/>
    </xf>
    <xf numFmtId="165" fontId="91" fillId="67" borderId="2" xfId="1" applyNumberFormat="1" applyFont="1" applyFill="1" applyBorder="1" applyAlignment="1">
      <alignment vertical="center"/>
    </xf>
    <xf numFmtId="165" fontId="91" fillId="70" borderId="2" xfId="1" applyNumberFormat="1" applyFont="1" applyFill="1" applyBorder="1" applyAlignment="1">
      <alignment vertical="center"/>
    </xf>
    <xf numFmtId="3" fontId="92" fillId="69" borderId="2" xfId="1" applyNumberFormat="1" applyFont="1" applyFill="1" applyBorder="1" applyAlignment="1" applyProtection="1">
      <alignment horizontal="center" vertical="center"/>
    </xf>
    <xf numFmtId="1" fontId="92" fillId="67" borderId="2" xfId="1" applyNumberFormat="1" applyFont="1" applyFill="1" applyBorder="1" applyAlignment="1">
      <alignment horizontal="center" vertical="center"/>
    </xf>
    <xf numFmtId="164" fontId="91" fillId="67" borderId="2" xfId="2" applyNumberFormat="1" applyFont="1" applyFill="1" applyBorder="1" applyAlignment="1">
      <alignment vertical="center"/>
    </xf>
    <xf numFmtId="164" fontId="91" fillId="70" borderId="2" xfId="2" applyNumberFormat="1" applyFont="1" applyFill="1" applyBorder="1" applyAlignment="1">
      <alignment vertical="center"/>
    </xf>
    <xf numFmtId="164" fontId="91" fillId="4" borderId="8" xfId="0" applyNumberFormat="1" applyFont="1" applyFill="1" applyBorder="1" applyAlignment="1">
      <alignment horizontal="center" vertical="center"/>
    </xf>
    <xf numFmtId="3" fontId="92" fillId="0" borderId="10" xfId="1" applyNumberFormat="1" applyFont="1" applyFill="1" applyBorder="1" applyAlignment="1" applyProtection="1">
      <alignment horizontal="center" vertical="center"/>
    </xf>
    <xf numFmtId="3" fontId="92" fillId="0" borderId="6" xfId="1" applyNumberFormat="1" applyFont="1" applyFill="1" applyBorder="1" applyAlignment="1" applyProtection="1">
      <alignment horizontal="center" vertical="center"/>
    </xf>
    <xf numFmtId="164" fontId="92" fillId="0" borderId="1" xfId="0" quotePrefix="1" applyNumberFormat="1" applyFont="1" applyBorder="1" applyAlignment="1">
      <alignment horizontal="center" vertical="center"/>
    </xf>
    <xf numFmtId="9" fontId="91" fillId="67" borderId="2" xfId="2" applyFont="1" applyFill="1" applyBorder="1" applyAlignment="1">
      <alignment horizontal="center" vertical="center"/>
    </xf>
    <xf numFmtId="9" fontId="91" fillId="70" borderId="13" xfId="2" applyFont="1" applyFill="1" applyBorder="1" applyAlignment="1">
      <alignment horizontal="center" vertical="center"/>
    </xf>
    <xf numFmtId="164" fontId="91" fillId="69" borderId="2" xfId="2" applyNumberFormat="1" applyFont="1" applyFill="1" applyBorder="1" applyAlignment="1" applyProtection="1">
      <alignment horizontal="center" vertical="center"/>
    </xf>
    <xf numFmtId="9" fontId="91" fillId="70" borderId="2" xfId="2" applyFont="1" applyFill="1" applyBorder="1" applyAlignment="1">
      <alignment horizontal="center" vertical="center"/>
    </xf>
    <xf numFmtId="164" fontId="92" fillId="0" borderId="4" xfId="0" quotePrefix="1" applyNumberFormat="1" applyFont="1" applyBorder="1" applyAlignment="1">
      <alignment horizontal="center" vertical="center"/>
    </xf>
    <xf numFmtId="9" fontId="91" fillId="70" borderId="14" xfId="2" applyFont="1" applyFill="1" applyBorder="1" applyAlignment="1">
      <alignment horizontal="center" vertical="center"/>
    </xf>
    <xf numFmtId="3" fontId="91" fillId="5" borderId="16" xfId="0" applyNumberFormat="1" applyFont="1" applyFill="1" applyBorder="1" applyAlignment="1" applyProtection="1">
      <alignment horizontal="center" vertical="center"/>
    </xf>
    <xf numFmtId="164" fontId="91" fillId="5" borderId="16" xfId="0" applyNumberFormat="1" applyFont="1" applyFill="1" applyBorder="1" applyAlignment="1">
      <alignment horizontal="center" vertical="center"/>
    </xf>
    <xf numFmtId="3" fontId="92" fillId="0" borderId="2" xfId="1" applyNumberFormat="1" applyFont="1" applyFill="1" applyBorder="1" applyAlignment="1" applyProtection="1">
      <alignment horizontal="center" vertical="center"/>
    </xf>
    <xf numFmtId="3" fontId="92" fillId="69" borderId="1" xfId="1" applyNumberFormat="1" applyFont="1" applyFill="1" applyBorder="1" applyAlignment="1" applyProtection="1">
      <alignment horizontal="center" vertical="center"/>
    </xf>
    <xf numFmtId="168" fontId="92" fillId="67" borderId="6" xfId="1" applyNumberFormat="1" applyFont="1" applyFill="1" applyBorder="1" applyAlignment="1">
      <alignment horizontal="center" vertical="center"/>
    </xf>
    <xf numFmtId="164" fontId="92" fillId="69" borderId="1" xfId="2" applyNumberFormat="1" applyFont="1" applyFill="1" applyBorder="1" applyAlignment="1" applyProtection="1">
      <alignment horizontal="center" vertical="center"/>
    </xf>
    <xf numFmtId="164" fontId="91" fillId="67" borderId="12" xfId="0" applyNumberFormat="1" applyFont="1" applyFill="1" applyBorder="1" applyAlignment="1">
      <alignment horizontal="center" vertical="center"/>
    </xf>
    <xf numFmtId="164" fontId="91" fillId="70" borderId="1" xfId="0" applyNumberFormat="1" applyFont="1" applyFill="1" applyBorder="1" applyAlignment="1">
      <alignment horizontal="center" vertical="center"/>
    </xf>
    <xf numFmtId="164" fontId="91" fillId="67" borderId="16" xfId="0" applyNumberFormat="1" applyFont="1" applyFill="1" applyBorder="1" applyAlignment="1">
      <alignment horizontal="center" vertical="center"/>
    </xf>
    <xf numFmtId="164" fontId="91" fillId="70" borderId="2" xfId="0" applyNumberFormat="1" applyFont="1" applyFill="1" applyBorder="1" applyAlignment="1">
      <alignment horizontal="center" vertical="center"/>
    </xf>
    <xf numFmtId="164" fontId="91" fillId="69" borderId="1" xfId="2" applyNumberFormat="1" applyFont="1" applyFill="1" applyBorder="1" applyAlignment="1" applyProtection="1">
      <alignment horizontal="center" vertical="center"/>
    </xf>
    <xf numFmtId="9" fontId="91" fillId="67" borderId="13" xfId="0" applyNumberFormat="1" applyFont="1" applyFill="1" applyBorder="1" applyAlignment="1">
      <alignment horizontal="center" vertical="center"/>
    </xf>
    <xf numFmtId="9" fontId="91" fillId="67" borderId="2" xfId="0" applyNumberFormat="1" applyFont="1" applyFill="1" applyBorder="1" applyAlignment="1">
      <alignment horizontal="center" vertical="center"/>
    </xf>
    <xf numFmtId="168" fontId="92" fillId="67" borderId="15" xfId="1" applyNumberFormat="1" applyFont="1" applyFill="1" applyBorder="1" applyAlignment="1">
      <alignment vertical="center"/>
    </xf>
    <xf numFmtId="168" fontId="91" fillId="67" borderId="1" xfId="1" applyNumberFormat="1" applyFont="1" applyFill="1" applyBorder="1" applyAlignment="1">
      <alignment vertical="center"/>
    </xf>
    <xf numFmtId="168" fontId="91" fillId="70" borderId="1" xfId="1" applyNumberFormat="1" applyFont="1" applyFill="1" applyBorder="1" applyAlignment="1">
      <alignment vertical="center"/>
    </xf>
    <xf numFmtId="168" fontId="92" fillId="67" borderId="1" xfId="1" applyNumberFormat="1" applyFont="1" applyFill="1" applyBorder="1" applyAlignment="1">
      <alignment vertical="center"/>
    </xf>
    <xf numFmtId="168" fontId="92" fillId="70" borderId="1" xfId="1" applyNumberFormat="1" applyFont="1" applyFill="1" applyBorder="1" applyAlignment="1">
      <alignment vertical="center"/>
    </xf>
    <xf numFmtId="9" fontId="7" fillId="70" borderId="0" xfId="11132" quotePrefix="1" applyFont="1" applyFill="1" applyBorder="1" applyAlignment="1" applyProtection="1">
      <alignment horizontal="right" vertical="center"/>
    </xf>
    <xf numFmtId="9" fontId="7" fillId="67" borderId="0" xfId="11132" quotePrefix="1" applyFont="1" applyFill="1" applyBorder="1" applyAlignment="1" applyProtection="1">
      <alignment horizontal="right" vertical="center"/>
    </xf>
    <xf numFmtId="166" fontId="7" fillId="70" borderId="0" xfId="11127" quotePrefix="1" applyNumberFormat="1" applyFont="1" applyFill="1" applyBorder="1" applyAlignment="1" applyProtection="1">
      <alignment horizontal="right" vertical="center"/>
    </xf>
    <xf numFmtId="166" fontId="7" fillId="67" borderId="0" xfId="11127" quotePrefix="1" applyNumberFormat="1" applyFont="1" applyFill="1" applyBorder="1" applyAlignment="1" applyProtection="1">
      <alignment horizontal="right" vertical="center"/>
    </xf>
    <xf numFmtId="0" fontId="7" fillId="70" borderId="0" xfId="11127" quotePrefix="1" applyNumberFormat="1" applyFont="1" applyFill="1" applyBorder="1" applyAlignment="1" applyProtection="1">
      <alignment horizontal="right" vertical="center"/>
    </xf>
    <xf numFmtId="0" fontId="7" fillId="67" borderId="0" xfId="11127" quotePrefix="1" applyNumberFormat="1" applyFont="1" applyFill="1" applyBorder="1" applyAlignment="1" applyProtection="1">
      <alignment horizontal="right" vertical="center"/>
    </xf>
    <xf numFmtId="0" fontId="7" fillId="70" borderId="0" xfId="11125" quotePrefix="1" applyNumberFormat="1" applyFont="1" applyFill="1" applyBorder="1" applyAlignment="1">
      <alignment horizontal="right" vertical="center"/>
    </xf>
    <xf numFmtId="0" fontId="7" fillId="70" borderId="0" xfId="11126" quotePrefix="1" applyNumberFormat="1" applyFont="1" applyFill="1" applyBorder="1" applyAlignment="1">
      <alignment horizontal="right" vertical="center"/>
    </xf>
    <xf numFmtId="0" fontId="7" fillId="67" borderId="0" xfId="11126" quotePrefix="1" applyNumberFormat="1" applyFont="1" applyFill="1" applyBorder="1" applyAlignment="1">
      <alignment horizontal="right" vertical="center"/>
    </xf>
    <xf numFmtId="164" fontId="7" fillId="70" borderId="0" xfId="11132" quotePrefix="1" applyNumberFormat="1" applyFont="1" applyFill="1" applyBorder="1" applyAlignment="1">
      <alignment horizontal="right" vertical="center"/>
    </xf>
    <xf numFmtId="164" fontId="7" fillId="67" borderId="0" xfId="11132" quotePrefix="1" applyNumberFormat="1" applyFont="1" applyFill="1" applyBorder="1" applyAlignment="1">
      <alignment horizontal="right" vertical="center"/>
    </xf>
    <xf numFmtId="0" fontId="28" fillId="0" borderId="0" xfId="0" applyFont="1" applyAlignment="1">
      <alignment horizontal="left" vertical="top" wrapText="1"/>
    </xf>
    <xf numFmtId="0" fontId="102" fillId="0" borderId="0" xfId="0" applyFont="1" applyAlignment="1">
      <alignment horizontal="right" vertical="top"/>
    </xf>
    <xf numFmtId="0" fontId="0" fillId="0" borderId="0" xfId="0" applyAlignment="1">
      <alignment horizontal="right"/>
    </xf>
    <xf numFmtId="0" fontId="58" fillId="0" borderId="0" xfId="0" applyFont="1" applyAlignment="1">
      <alignment horizontal="left" vertical="top" wrapText="1"/>
    </xf>
    <xf numFmtId="17" fontId="79" fillId="68" borderId="45" xfId="11125" quotePrefix="1" applyNumberFormat="1" applyFont="1" applyFill="1" applyBorder="1" applyAlignment="1">
      <alignment horizontal="right" vertical="center"/>
    </xf>
    <xf numFmtId="0" fontId="102" fillId="0" borderId="0" xfId="11125" applyFont="1" applyFill="1" applyBorder="1" applyAlignment="1">
      <alignment horizontal="left" vertical="center"/>
    </xf>
    <xf numFmtId="164" fontId="7" fillId="74" borderId="0" xfId="11126" quotePrefix="1" applyNumberFormat="1" applyFont="1" applyFill="1" applyBorder="1" applyAlignment="1">
      <alignment horizontal="center" vertical="center"/>
    </xf>
    <xf numFmtId="3" fontId="7" fillId="74" borderId="0" xfId="11126" quotePrefix="1" applyNumberFormat="1" applyFont="1" applyFill="1" applyBorder="1" applyAlignment="1">
      <alignment horizontal="center" vertical="center"/>
    </xf>
    <xf numFmtId="0" fontId="7" fillId="0" borderId="0" xfId="0" applyFont="1" applyAlignment="1">
      <alignment horizontal="right" vertical="center"/>
    </xf>
    <xf numFmtId="0" fontId="7" fillId="5" borderId="0" xfId="0" applyFont="1" applyFill="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91" fillId="68" borderId="6" xfId="0" applyFont="1" applyFill="1" applyBorder="1" applyAlignment="1">
      <alignment horizontal="left" vertical="center"/>
    </xf>
    <xf numFmtId="0" fontId="91" fillId="68" borderId="16" xfId="0" applyFont="1" applyFill="1" applyBorder="1" applyAlignment="1">
      <alignment horizontal="left" vertical="center"/>
    </xf>
    <xf numFmtId="0" fontId="91" fillId="68" borderId="15" xfId="0" applyFont="1" applyFill="1" applyBorder="1" applyAlignment="1">
      <alignment horizontal="left" vertical="center"/>
    </xf>
    <xf numFmtId="0" fontId="92" fillId="5" borderId="0" xfId="0" applyFont="1" applyFill="1" applyAlignment="1">
      <alignment horizontal="left" vertical="top" wrapText="1"/>
    </xf>
    <xf numFmtId="0" fontId="92" fillId="0" borderId="0"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91" fillId="5" borderId="6" xfId="0" applyFont="1" applyFill="1" applyBorder="1" applyAlignment="1">
      <alignment horizontal="left" vertical="center"/>
    </xf>
    <xf numFmtId="0" fontId="91" fillId="5" borderId="16" xfId="0" applyFont="1" applyFill="1" applyBorder="1" applyAlignment="1">
      <alignment horizontal="left" vertical="center"/>
    </xf>
    <xf numFmtId="0" fontId="91" fillId="5" borderId="15" xfId="0" applyFont="1" applyFill="1" applyBorder="1" applyAlignment="1">
      <alignment horizontal="left" vertical="center"/>
    </xf>
    <xf numFmtId="0" fontId="92" fillId="2" borderId="0" xfId="0" applyFont="1" applyFill="1" applyBorder="1" applyAlignment="1">
      <alignment horizontal="left" vertical="center"/>
    </xf>
    <xf numFmtId="0" fontId="91" fillId="68" borderId="6" xfId="0" applyFont="1" applyFill="1" applyBorder="1" applyAlignment="1">
      <alignment vertical="center" wrapText="1"/>
    </xf>
    <xf numFmtId="0" fontId="91" fillId="68" borderId="16" xfId="0" applyFont="1" applyFill="1" applyBorder="1" applyAlignment="1">
      <alignment vertical="center" wrapText="1"/>
    </xf>
    <xf numFmtId="0" fontId="91" fillId="68" borderId="15" xfId="0" applyFont="1" applyFill="1" applyBorder="1" applyAlignment="1">
      <alignment vertical="center" wrapText="1"/>
    </xf>
    <xf numFmtId="0" fontId="91" fillId="68" borderId="6" xfId="0" applyFont="1" applyFill="1" applyBorder="1" applyAlignment="1">
      <alignment horizontal="left" vertical="center" wrapText="1"/>
    </xf>
    <xf numFmtId="0" fontId="91" fillId="68" borderId="16" xfId="0" applyFont="1" applyFill="1" applyBorder="1" applyAlignment="1">
      <alignment horizontal="left" vertical="center" wrapText="1"/>
    </xf>
    <xf numFmtId="0" fontId="91" fillId="68" borderId="15" xfId="0" applyFont="1" applyFill="1" applyBorder="1" applyAlignment="1">
      <alignment horizontal="left" vertical="center" wrapText="1"/>
    </xf>
    <xf numFmtId="0" fontId="91" fillId="68" borderId="10" xfId="0" applyFont="1" applyFill="1" applyBorder="1" applyAlignment="1">
      <alignment horizontal="left" vertical="center" wrapText="1"/>
    </xf>
    <xf numFmtId="0" fontId="91" fillId="68" borderId="12" xfId="0" applyFont="1" applyFill="1" applyBorder="1" applyAlignment="1">
      <alignment horizontal="left" vertical="center" wrapText="1"/>
    </xf>
    <xf numFmtId="0" fontId="91" fillId="68" borderId="13" xfId="0" applyFont="1" applyFill="1" applyBorder="1" applyAlignment="1">
      <alignment horizontal="left" vertical="center" wrapText="1"/>
    </xf>
    <xf numFmtId="1" fontId="91" fillId="0" borderId="8" xfId="1" applyNumberFormat="1" applyFont="1" applyFill="1" applyBorder="1" applyAlignment="1">
      <alignment horizontal="center" vertical="center" wrapText="1"/>
    </xf>
    <xf numFmtId="1" fontId="91" fillId="0" borderId="14" xfId="1" applyNumberFormat="1" applyFont="1" applyFill="1" applyBorder="1" applyAlignment="1">
      <alignment horizontal="center" vertical="center"/>
    </xf>
    <xf numFmtId="1" fontId="91" fillId="0" borderId="7" xfId="1" applyNumberFormat="1" applyFont="1" applyFill="1" applyBorder="1" applyAlignment="1">
      <alignment horizontal="center" vertical="center"/>
    </xf>
    <xf numFmtId="1" fontId="91" fillId="0" borderId="11" xfId="1" applyNumberFormat="1" applyFont="1" applyFill="1" applyBorder="1" applyAlignment="1">
      <alignment horizontal="center" vertical="center"/>
    </xf>
    <xf numFmtId="1" fontId="91" fillId="0" borderId="10" xfId="1" applyNumberFormat="1" applyFont="1" applyFill="1" applyBorder="1" applyAlignment="1">
      <alignment horizontal="center" vertical="center"/>
    </xf>
    <xf numFmtId="1" fontId="91" fillId="0" borderId="13" xfId="1" applyNumberFormat="1" applyFont="1" applyFill="1" applyBorder="1" applyAlignment="1">
      <alignment horizontal="center" vertical="center"/>
    </xf>
    <xf numFmtId="0" fontId="98" fillId="0" borderId="0" xfId="0" applyFont="1" applyBorder="1" applyAlignment="1">
      <alignment horizontal="center" vertical="center"/>
    </xf>
    <xf numFmtId="0" fontId="92" fillId="0" borderId="0" xfId="0" applyFont="1" applyAlignment="1">
      <alignment horizontal="left" vertical="center" wrapText="1"/>
    </xf>
    <xf numFmtId="0" fontId="7" fillId="37" borderId="0" xfId="0" applyFont="1" applyFill="1" applyAlignment="1">
      <alignment horizontal="right" vertical="center"/>
    </xf>
    <xf numFmtId="0" fontId="7" fillId="5" borderId="0" xfId="0" applyFont="1" applyFill="1" applyAlignment="1">
      <alignment horizontal="left" vertical="center" wrapText="1"/>
    </xf>
    <xf numFmtId="0" fontId="97" fillId="68" borderId="6" xfId="0" applyFont="1" applyFill="1" applyBorder="1" applyAlignment="1">
      <alignment horizontal="left" vertical="center" wrapText="1"/>
    </xf>
    <xf numFmtId="0" fontId="97" fillId="68" borderId="16" xfId="0" applyFont="1" applyFill="1" applyBorder="1" applyAlignment="1">
      <alignment horizontal="left" vertical="center" wrapText="1"/>
    </xf>
    <xf numFmtId="0" fontId="97" fillId="68" borderId="15" xfId="0" applyFont="1" applyFill="1" applyBorder="1" applyAlignment="1">
      <alignment horizontal="left" vertical="center" wrapText="1"/>
    </xf>
    <xf numFmtId="0" fontId="8" fillId="0" borderId="0" xfId="0" applyFont="1" applyBorder="1" applyAlignment="1">
      <alignment horizontal="center" vertical="center" wrapText="1"/>
    </xf>
    <xf numFmtId="0" fontId="97" fillId="5" borderId="6" xfId="0" applyFont="1" applyFill="1" applyBorder="1" applyAlignment="1">
      <alignment horizontal="left" vertical="center" wrapText="1"/>
    </xf>
    <xf numFmtId="0" fontId="97" fillId="5" borderId="16" xfId="0" applyFont="1" applyFill="1" applyBorder="1" applyAlignment="1">
      <alignment horizontal="left" vertical="center" wrapText="1"/>
    </xf>
    <xf numFmtId="0" fontId="97" fillId="5" borderId="15" xfId="0" applyFont="1" applyFill="1" applyBorder="1" applyAlignment="1">
      <alignment horizontal="left" vertical="center" wrapText="1"/>
    </xf>
    <xf numFmtId="0" fontId="91" fillId="5" borderId="6" xfId="0" applyFont="1" applyFill="1" applyBorder="1" applyAlignment="1">
      <alignment horizontal="left" vertical="center" wrapText="1"/>
    </xf>
    <xf numFmtId="0" fontId="91" fillId="5" borderId="16" xfId="0" applyFont="1" applyFill="1" applyBorder="1" applyAlignment="1">
      <alignment horizontal="left" vertical="center" wrapText="1"/>
    </xf>
    <xf numFmtId="2" fontId="91" fillId="68" borderId="6" xfId="0" applyNumberFormat="1" applyFont="1" applyFill="1" applyBorder="1" applyAlignment="1">
      <alignment horizontal="left" vertical="center" wrapText="1"/>
    </xf>
    <xf numFmtId="2" fontId="91" fillId="68" borderId="16" xfId="0" applyNumberFormat="1" applyFont="1" applyFill="1" applyBorder="1" applyAlignment="1">
      <alignment horizontal="left" vertical="center" wrapText="1"/>
    </xf>
    <xf numFmtId="2" fontId="91" fillId="68" borderId="15" xfId="0" applyNumberFormat="1" applyFont="1" applyFill="1" applyBorder="1" applyAlignment="1">
      <alignment horizontal="left" vertical="center" wrapText="1"/>
    </xf>
    <xf numFmtId="0" fontId="91" fillId="5" borderId="15" xfId="0" applyFont="1" applyFill="1" applyBorder="1" applyAlignment="1">
      <alignment horizontal="left" vertical="center" wrapText="1"/>
    </xf>
    <xf numFmtId="0" fontId="104" fillId="4" borderId="6" xfId="0" applyFont="1" applyFill="1" applyBorder="1" applyAlignment="1">
      <alignment horizontal="center" vertical="center"/>
    </xf>
    <xf numFmtId="0" fontId="104" fillId="4" borderId="15" xfId="0" applyFont="1" applyFill="1" applyBorder="1" applyAlignment="1">
      <alignment horizontal="center" vertical="center"/>
    </xf>
    <xf numFmtId="0" fontId="105" fillId="4" borderId="6" xfId="0" applyFont="1" applyFill="1" applyBorder="1" applyAlignment="1">
      <alignment horizontal="center" vertical="center"/>
    </xf>
    <xf numFmtId="0" fontId="105" fillId="4" borderId="15" xfId="0" applyFont="1" applyFill="1" applyBorder="1" applyAlignment="1">
      <alignment horizontal="center" vertical="center"/>
    </xf>
    <xf numFmtId="0" fontId="106" fillId="3" borderId="6" xfId="0" applyFont="1" applyFill="1" applyBorder="1" applyAlignment="1">
      <alignment horizontal="left" vertical="center"/>
    </xf>
    <xf numFmtId="0" fontId="106" fillId="3" borderId="15" xfId="0" applyFont="1" applyFill="1" applyBorder="1" applyAlignment="1">
      <alignment horizontal="left" vertical="center"/>
    </xf>
    <xf numFmtId="0" fontId="92" fillId="0" borderId="0" xfId="0" applyFont="1" applyBorder="1" applyAlignment="1">
      <alignment horizontal="left" vertical="top" wrapText="1"/>
    </xf>
    <xf numFmtId="1" fontId="106" fillId="3" borderId="6" xfId="0" applyNumberFormat="1" applyFont="1" applyFill="1" applyBorder="1" applyAlignment="1">
      <alignment horizontal="left" vertical="center"/>
    </xf>
    <xf numFmtId="1" fontId="106" fillId="3" borderId="16" xfId="0" applyNumberFormat="1" applyFont="1" applyFill="1" applyBorder="1" applyAlignment="1">
      <alignment horizontal="left" vertical="center"/>
    </xf>
    <xf numFmtId="0" fontId="92" fillId="0" borderId="0" xfId="0" applyFont="1" applyBorder="1" applyAlignment="1">
      <alignment horizontal="left" vertical="center" wrapText="1"/>
    </xf>
    <xf numFmtId="0" fontId="12" fillId="0" borderId="0" xfId="0" applyFont="1" applyAlignment="1">
      <alignment horizontal="center" vertical="center"/>
    </xf>
    <xf numFmtId="0" fontId="92" fillId="5" borderId="0" xfId="0" applyFont="1" applyFill="1" applyAlignment="1">
      <alignment horizontal="left" vertical="center"/>
    </xf>
    <xf numFmtId="0" fontId="92" fillId="0" borderId="0" xfId="0" applyFont="1" applyAlignment="1">
      <alignment horizontal="left" vertical="top" wrapText="1"/>
    </xf>
    <xf numFmtId="0" fontId="94" fillId="5" borderId="6" xfId="0" applyFont="1" applyFill="1" applyBorder="1" applyAlignment="1">
      <alignment horizontal="left" vertical="center"/>
    </xf>
    <xf numFmtId="0" fontId="94" fillId="5" borderId="16" xfId="0" applyFont="1" applyFill="1" applyBorder="1" applyAlignment="1">
      <alignment horizontal="left" vertical="center"/>
    </xf>
    <xf numFmtId="0" fontId="94" fillId="5" borderId="15" xfId="0" applyFont="1" applyFill="1" applyBorder="1" applyAlignment="1">
      <alignment horizontal="left" vertical="center"/>
    </xf>
    <xf numFmtId="0" fontId="91" fillId="68" borderId="10" xfId="0" applyFont="1" applyFill="1" applyBorder="1" applyAlignment="1">
      <alignment horizontal="left" vertical="center"/>
    </xf>
    <xf numFmtId="0" fontId="91" fillId="68" borderId="12" xfId="0" applyFont="1" applyFill="1" applyBorder="1" applyAlignment="1">
      <alignment horizontal="left" vertical="center"/>
    </xf>
  </cellXfs>
  <cellStyles count="11133">
    <cellStyle name="20% - Accent1 10" xfId="5"/>
    <cellStyle name="20% - Accent1 10 2" xfId="6"/>
    <cellStyle name="20% - Accent1 10 3" xfId="7"/>
    <cellStyle name="20% - Accent1 100" xfId="8"/>
    <cellStyle name="20% - Accent1 100 2" xfId="9"/>
    <cellStyle name="20% - Accent1 101" xfId="10"/>
    <cellStyle name="20% - Accent1 101 2" xfId="11"/>
    <cellStyle name="20% - Accent1 102" xfId="12"/>
    <cellStyle name="20% - Accent1 102 2" xfId="13"/>
    <cellStyle name="20% - Accent1 103" xfId="14"/>
    <cellStyle name="20% - Accent1 103 2" xfId="15"/>
    <cellStyle name="20% - Accent1 104" xfId="16"/>
    <cellStyle name="20% - Accent1 104 2" xfId="17"/>
    <cellStyle name="20% - Accent1 105" xfId="18"/>
    <cellStyle name="20% - Accent1 105 2" xfId="19"/>
    <cellStyle name="20% - Accent1 106" xfId="20"/>
    <cellStyle name="20% - Accent1 106 2" xfId="21"/>
    <cellStyle name="20% - Accent1 107" xfId="22"/>
    <cellStyle name="20% - Accent1 107 2" xfId="23"/>
    <cellStyle name="20% - Accent1 108" xfId="24"/>
    <cellStyle name="20% - Accent1 108 2" xfId="25"/>
    <cellStyle name="20% - Accent1 109" xfId="26"/>
    <cellStyle name="20% - Accent1 109 2" xfId="27"/>
    <cellStyle name="20% - Accent1 11" xfId="28"/>
    <cellStyle name="20% - Accent1 11 2" xfId="29"/>
    <cellStyle name="20% - Accent1 11 3" xfId="30"/>
    <cellStyle name="20% - Accent1 110" xfId="31"/>
    <cellStyle name="20% - Accent1 110 2" xfId="32"/>
    <cellStyle name="20% - Accent1 111" xfId="33"/>
    <cellStyle name="20% - Accent1 111 2" xfId="34"/>
    <cellStyle name="20% - Accent1 112" xfId="35"/>
    <cellStyle name="20% - Accent1 112 2" xfId="36"/>
    <cellStyle name="20% - Accent1 113" xfId="37"/>
    <cellStyle name="20% - Accent1 113 2" xfId="38"/>
    <cellStyle name="20% - Accent1 114" xfId="39"/>
    <cellStyle name="20% - Accent1 114 2" xfId="40"/>
    <cellStyle name="20% - Accent1 115" xfId="41"/>
    <cellStyle name="20% - Accent1 115 2" xfId="42"/>
    <cellStyle name="20% - Accent1 116" xfId="43"/>
    <cellStyle name="20% - Accent1 116 2" xfId="44"/>
    <cellStyle name="20% - Accent1 117" xfId="45"/>
    <cellStyle name="20% - Accent1 117 2" xfId="46"/>
    <cellStyle name="20% - Accent1 118" xfId="47"/>
    <cellStyle name="20% - Accent1 118 2" xfId="48"/>
    <cellStyle name="20% - Accent1 119" xfId="49"/>
    <cellStyle name="20% - Accent1 119 2" xfId="50"/>
    <cellStyle name="20% - Accent1 12" xfId="51"/>
    <cellStyle name="20% - Accent1 12 2" xfId="52"/>
    <cellStyle name="20% - Accent1 12 3" xfId="53"/>
    <cellStyle name="20% - Accent1 120" xfId="54"/>
    <cellStyle name="20% - Accent1 120 2" xfId="55"/>
    <cellStyle name="20% - Accent1 121" xfId="56"/>
    <cellStyle name="20% - Accent1 121 2" xfId="57"/>
    <cellStyle name="20% - Accent1 122" xfId="58"/>
    <cellStyle name="20% - Accent1 122 2" xfId="59"/>
    <cellStyle name="20% - Accent1 123" xfId="60"/>
    <cellStyle name="20% - Accent1 123 2" xfId="61"/>
    <cellStyle name="20% - Accent1 124" xfId="62"/>
    <cellStyle name="20% - Accent1 124 2" xfId="63"/>
    <cellStyle name="20% - Accent1 125" xfId="64"/>
    <cellStyle name="20% - Accent1 125 2" xfId="65"/>
    <cellStyle name="20% - Accent1 126" xfId="66"/>
    <cellStyle name="20% - Accent1 126 2" xfId="67"/>
    <cellStyle name="20% - Accent1 127" xfId="68"/>
    <cellStyle name="20% - Accent1 127 2" xfId="69"/>
    <cellStyle name="20% - Accent1 128" xfId="70"/>
    <cellStyle name="20% - Accent1 128 2" xfId="71"/>
    <cellStyle name="20% - Accent1 129" xfId="72"/>
    <cellStyle name="20% - Accent1 129 2" xfId="73"/>
    <cellStyle name="20% - Accent1 13" xfId="74"/>
    <cellStyle name="20% - Accent1 13 2" xfId="75"/>
    <cellStyle name="20% - Accent1 13 3" xfId="76"/>
    <cellStyle name="20% - Accent1 130" xfId="77"/>
    <cellStyle name="20% - Accent1 130 2" xfId="78"/>
    <cellStyle name="20% - Accent1 131" xfId="79"/>
    <cellStyle name="20% - Accent1 131 2" xfId="80"/>
    <cellStyle name="20% - Accent1 132" xfId="81"/>
    <cellStyle name="20% - Accent1 132 2" xfId="82"/>
    <cellStyle name="20% - Accent1 133" xfId="83"/>
    <cellStyle name="20% - Accent1 133 2" xfId="84"/>
    <cellStyle name="20% - Accent1 134" xfId="85"/>
    <cellStyle name="20% - Accent1 134 2" xfId="86"/>
    <cellStyle name="20% - Accent1 135" xfId="87"/>
    <cellStyle name="20% - Accent1 135 2" xfId="88"/>
    <cellStyle name="20% - Accent1 136" xfId="89"/>
    <cellStyle name="20% - Accent1 136 2" xfId="90"/>
    <cellStyle name="20% - Accent1 137" xfId="91"/>
    <cellStyle name="20% - Accent1 137 2" xfId="92"/>
    <cellStyle name="20% - Accent1 138" xfId="93"/>
    <cellStyle name="20% - Accent1 138 2" xfId="94"/>
    <cellStyle name="20% - Accent1 139" xfId="95"/>
    <cellStyle name="20% - Accent1 139 2" xfId="96"/>
    <cellStyle name="20% - Accent1 14" xfId="97"/>
    <cellStyle name="20% - Accent1 14 2" xfId="98"/>
    <cellStyle name="20% - Accent1 14 3" xfId="99"/>
    <cellStyle name="20% - Accent1 140" xfId="100"/>
    <cellStyle name="20% - Accent1 140 2" xfId="101"/>
    <cellStyle name="20% - Accent1 141" xfId="102"/>
    <cellStyle name="20% - Accent1 141 2" xfId="103"/>
    <cellStyle name="20% - Accent1 142" xfId="104"/>
    <cellStyle name="20% - Accent1 142 2" xfId="105"/>
    <cellStyle name="20% - Accent1 143" xfId="106"/>
    <cellStyle name="20% - Accent1 143 2" xfId="107"/>
    <cellStyle name="20% - Accent1 144" xfId="108"/>
    <cellStyle name="20% - Accent1 144 2" xfId="109"/>
    <cellStyle name="20% - Accent1 145" xfId="110"/>
    <cellStyle name="20% - Accent1 145 2" xfId="111"/>
    <cellStyle name="20% - Accent1 146" xfId="112"/>
    <cellStyle name="20% - Accent1 146 2" xfId="113"/>
    <cellStyle name="20% - Accent1 147" xfId="114"/>
    <cellStyle name="20% - Accent1 147 2" xfId="115"/>
    <cellStyle name="20% - Accent1 148" xfId="116"/>
    <cellStyle name="20% - Accent1 148 2" xfId="117"/>
    <cellStyle name="20% - Accent1 149" xfId="118"/>
    <cellStyle name="20% - Accent1 149 2" xfId="119"/>
    <cellStyle name="20% - Accent1 15" xfId="120"/>
    <cellStyle name="20% - Accent1 15 2" xfId="121"/>
    <cellStyle name="20% - Accent1 15 3" xfId="122"/>
    <cellStyle name="20% - Accent1 150" xfId="123"/>
    <cellStyle name="20% - Accent1 150 2" xfId="124"/>
    <cellStyle name="20% - Accent1 151" xfId="125"/>
    <cellStyle name="20% - Accent1 151 2" xfId="126"/>
    <cellStyle name="20% - Accent1 152" xfId="127"/>
    <cellStyle name="20% - Accent1 152 2" xfId="128"/>
    <cellStyle name="20% - Accent1 153" xfId="129"/>
    <cellStyle name="20% - Accent1 153 2" xfId="130"/>
    <cellStyle name="20% - Accent1 154" xfId="131"/>
    <cellStyle name="20% - Accent1 154 2" xfId="132"/>
    <cellStyle name="20% - Accent1 155" xfId="133"/>
    <cellStyle name="20% - Accent1 155 2" xfId="134"/>
    <cellStyle name="20% - Accent1 156" xfId="135"/>
    <cellStyle name="20% - Accent1 156 2" xfId="136"/>
    <cellStyle name="20% - Accent1 157" xfId="137"/>
    <cellStyle name="20% - Accent1 157 2" xfId="138"/>
    <cellStyle name="20% - Accent1 158" xfId="139"/>
    <cellStyle name="20% - Accent1 158 2" xfId="140"/>
    <cellStyle name="20% - Accent1 159" xfId="141"/>
    <cellStyle name="20% - Accent1 159 2" xfId="142"/>
    <cellStyle name="20% - Accent1 16" xfId="143"/>
    <cellStyle name="20% - Accent1 16 2" xfId="144"/>
    <cellStyle name="20% - Accent1 16 3" xfId="145"/>
    <cellStyle name="20% - Accent1 160" xfId="146"/>
    <cellStyle name="20% - Accent1 160 2" xfId="147"/>
    <cellStyle name="20% - Accent1 161" xfId="148"/>
    <cellStyle name="20% - Accent1 161 2" xfId="149"/>
    <cellStyle name="20% - Accent1 162" xfId="150"/>
    <cellStyle name="20% - Accent1 162 2" xfId="151"/>
    <cellStyle name="20% - Accent1 163" xfId="152"/>
    <cellStyle name="20% - Accent1 163 2" xfId="153"/>
    <cellStyle name="20% - Accent1 164" xfId="154"/>
    <cellStyle name="20% - Accent1 164 2" xfId="155"/>
    <cellStyle name="20% - Accent1 165" xfId="156"/>
    <cellStyle name="20% - Accent1 165 2" xfId="157"/>
    <cellStyle name="20% - Accent1 166" xfId="158"/>
    <cellStyle name="20% - Accent1 166 2" xfId="159"/>
    <cellStyle name="20% - Accent1 167" xfId="160"/>
    <cellStyle name="20% - Accent1 167 2" xfId="161"/>
    <cellStyle name="20% - Accent1 168" xfId="162"/>
    <cellStyle name="20% - Accent1 168 2" xfId="163"/>
    <cellStyle name="20% - Accent1 169" xfId="164"/>
    <cellStyle name="20% - Accent1 169 2" xfId="165"/>
    <cellStyle name="20% - Accent1 17" xfId="166"/>
    <cellStyle name="20% - Accent1 17 2" xfId="167"/>
    <cellStyle name="20% - Accent1 17 3" xfId="168"/>
    <cellStyle name="20% - Accent1 170" xfId="169"/>
    <cellStyle name="20% - Accent1 170 2" xfId="170"/>
    <cellStyle name="20% - Accent1 171" xfId="171"/>
    <cellStyle name="20% - Accent1 171 2" xfId="172"/>
    <cellStyle name="20% - Accent1 172" xfId="173"/>
    <cellStyle name="20% - Accent1 172 2" xfId="174"/>
    <cellStyle name="20% - Accent1 173" xfId="175"/>
    <cellStyle name="20% - Accent1 173 2" xfId="176"/>
    <cellStyle name="20% - Accent1 174" xfId="177"/>
    <cellStyle name="20% - Accent1 174 2" xfId="178"/>
    <cellStyle name="20% - Accent1 175" xfId="179"/>
    <cellStyle name="20% - Accent1 175 2" xfId="180"/>
    <cellStyle name="20% - Accent1 176" xfId="181"/>
    <cellStyle name="20% - Accent1 176 2" xfId="182"/>
    <cellStyle name="20% - Accent1 177" xfId="183"/>
    <cellStyle name="20% - Accent1 177 2" xfId="184"/>
    <cellStyle name="20% - Accent1 18" xfId="185"/>
    <cellStyle name="20% - Accent1 18 2" xfId="186"/>
    <cellStyle name="20% - Accent1 18 3" xfId="187"/>
    <cellStyle name="20% - Accent1 19" xfId="188"/>
    <cellStyle name="20% - Accent1 19 2" xfId="189"/>
    <cellStyle name="20% - Accent1 19 3" xfId="190"/>
    <cellStyle name="20% - Accent1 2" xfId="191"/>
    <cellStyle name="20% - Accent1 2 2" xfId="192"/>
    <cellStyle name="20% - Accent1 2 3" xfId="193"/>
    <cellStyle name="20% - Accent1 2 4" xfId="194"/>
    <cellStyle name="20% - Accent1 20" xfId="195"/>
    <cellStyle name="20% - Accent1 20 2" xfId="196"/>
    <cellStyle name="20% - Accent1 20 3" xfId="197"/>
    <cellStyle name="20% - Accent1 21" xfId="198"/>
    <cellStyle name="20% - Accent1 21 2" xfId="199"/>
    <cellStyle name="20% - Accent1 21 3" xfId="200"/>
    <cellStyle name="20% - Accent1 22" xfId="201"/>
    <cellStyle name="20% - Accent1 22 2" xfId="202"/>
    <cellStyle name="20% - Accent1 22 3" xfId="203"/>
    <cellStyle name="20% - Accent1 23" xfId="204"/>
    <cellStyle name="20% - Accent1 23 2" xfId="205"/>
    <cellStyle name="20% - Accent1 23 3" xfId="206"/>
    <cellStyle name="20% - Accent1 24" xfId="207"/>
    <cellStyle name="20% - Accent1 24 2" xfId="208"/>
    <cellStyle name="20% - Accent1 24 3" xfId="209"/>
    <cellStyle name="20% - Accent1 25" xfId="210"/>
    <cellStyle name="20% - Accent1 25 2" xfId="211"/>
    <cellStyle name="20% - Accent1 25 3" xfId="212"/>
    <cellStyle name="20% - Accent1 26" xfId="213"/>
    <cellStyle name="20% - Accent1 26 2" xfId="214"/>
    <cellStyle name="20% - Accent1 26 3" xfId="215"/>
    <cellStyle name="20% - Accent1 27" xfId="216"/>
    <cellStyle name="20% - Accent1 27 2" xfId="217"/>
    <cellStyle name="20% - Accent1 27 3" xfId="218"/>
    <cellStyle name="20% - Accent1 28" xfId="219"/>
    <cellStyle name="20% - Accent1 28 2" xfId="220"/>
    <cellStyle name="20% - Accent1 28 3" xfId="221"/>
    <cellStyle name="20% - Accent1 29" xfId="222"/>
    <cellStyle name="20% - Accent1 29 2" xfId="223"/>
    <cellStyle name="20% - Accent1 29 3" xfId="224"/>
    <cellStyle name="20% - Accent1 3" xfId="225"/>
    <cellStyle name="20% - Accent1 3 2" xfId="226"/>
    <cellStyle name="20% - Accent1 3 3" xfId="227"/>
    <cellStyle name="20% - Accent1 30" xfId="228"/>
    <cellStyle name="20% - Accent1 30 2" xfId="229"/>
    <cellStyle name="20% - Accent1 30 3" xfId="230"/>
    <cellStyle name="20% - Accent1 31" xfId="231"/>
    <cellStyle name="20% - Accent1 31 2" xfId="232"/>
    <cellStyle name="20% - Accent1 31 3" xfId="233"/>
    <cellStyle name="20% - Accent1 32" xfId="234"/>
    <cellStyle name="20% - Accent1 32 2" xfId="235"/>
    <cellStyle name="20% - Accent1 32 3" xfId="236"/>
    <cellStyle name="20% - Accent1 33" xfId="237"/>
    <cellStyle name="20% - Accent1 33 2" xfId="238"/>
    <cellStyle name="20% - Accent1 33 3" xfId="239"/>
    <cellStyle name="20% - Accent1 34" xfId="240"/>
    <cellStyle name="20% - Accent1 34 2" xfId="241"/>
    <cellStyle name="20% - Accent1 34 3" xfId="242"/>
    <cellStyle name="20% - Accent1 35" xfId="243"/>
    <cellStyle name="20% - Accent1 35 2" xfId="244"/>
    <cellStyle name="20% - Accent1 35 3" xfId="245"/>
    <cellStyle name="20% - Accent1 36" xfId="246"/>
    <cellStyle name="20% - Accent1 36 2" xfId="247"/>
    <cellStyle name="20% - Accent1 36 3" xfId="248"/>
    <cellStyle name="20% - Accent1 37" xfId="249"/>
    <cellStyle name="20% - Accent1 37 2" xfId="250"/>
    <cellStyle name="20% - Accent1 37 3" xfId="251"/>
    <cellStyle name="20% - Accent1 38" xfId="252"/>
    <cellStyle name="20% - Accent1 38 2" xfId="253"/>
    <cellStyle name="20% - Accent1 38 3" xfId="254"/>
    <cellStyle name="20% - Accent1 39" xfId="255"/>
    <cellStyle name="20% - Accent1 39 2" xfId="256"/>
    <cellStyle name="20% - Accent1 39 3" xfId="257"/>
    <cellStyle name="20% - Accent1 4" xfId="258"/>
    <cellStyle name="20% - Accent1 4 2" xfId="259"/>
    <cellStyle name="20% - Accent1 4 3" xfId="260"/>
    <cellStyle name="20% - Accent1 40" xfId="261"/>
    <cellStyle name="20% - Accent1 40 2" xfId="262"/>
    <cellStyle name="20% - Accent1 40 3" xfId="263"/>
    <cellStyle name="20% - Accent1 41" xfId="264"/>
    <cellStyle name="20% - Accent1 41 2" xfId="265"/>
    <cellStyle name="20% - Accent1 41 3" xfId="266"/>
    <cellStyle name="20% - Accent1 42" xfId="267"/>
    <cellStyle name="20% - Accent1 42 2" xfId="268"/>
    <cellStyle name="20% - Accent1 42 3" xfId="269"/>
    <cellStyle name="20% - Accent1 43" xfId="270"/>
    <cellStyle name="20% - Accent1 43 2" xfId="271"/>
    <cellStyle name="20% - Accent1 43 3" xfId="272"/>
    <cellStyle name="20% - Accent1 44" xfId="273"/>
    <cellStyle name="20% - Accent1 44 2" xfId="274"/>
    <cellStyle name="20% - Accent1 44 3" xfId="275"/>
    <cellStyle name="20% - Accent1 45" xfId="276"/>
    <cellStyle name="20% - Accent1 45 2" xfId="277"/>
    <cellStyle name="20% - Accent1 45 3" xfId="278"/>
    <cellStyle name="20% - Accent1 46" xfId="279"/>
    <cellStyle name="20% - Accent1 46 2" xfId="280"/>
    <cellStyle name="20% - Accent1 46 3" xfId="281"/>
    <cellStyle name="20% - Accent1 47" xfId="282"/>
    <cellStyle name="20% - Accent1 47 2" xfId="283"/>
    <cellStyle name="20% - Accent1 47 3" xfId="284"/>
    <cellStyle name="20% - Accent1 48" xfId="285"/>
    <cellStyle name="20% - Accent1 48 2" xfId="286"/>
    <cellStyle name="20% - Accent1 48 3" xfId="287"/>
    <cellStyle name="20% - Accent1 49" xfId="288"/>
    <cellStyle name="20% - Accent1 49 2" xfId="289"/>
    <cellStyle name="20% - Accent1 49 3" xfId="290"/>
    <cellStyle name="20% - Accent1 5" xfId="291"/>
    <cellStyle name="20% - Accent1 5 2" xfId="292"/>
    <cellStyle name="20% - Accent1 5 3" xfId="293"/>
    <cellStyle name="20% - Accent1 50" xfId="294"/>
    <cellStyle name="20% - Accent1 50 2" xfId="295"/>
    <cellStyle name="20% - Accent1 50 3" xfId="296"/>
    <cellStyle name="20% - Accent1 51" xfId="297"/>
    <cellStyle name="20% - Accent1 51 2" xfId="298"/>
    <cellStyle name="20% - Accent1 51 3" xfId="299"/>
    <cellStyle name="20% - Accent1 52" xfId="300"/>
    <cellStyle name="20% - Accent1 52 2" xfId="301"/>
    <cellStyle name="20% - Accent1 52 3" xfId="302"/>
    <cellStyle name="20% - Accent1 53" xfId="303"/>
    <cellStyle name="20% - Accent1 53 2" xfId="304"/>
    <cellStyle name="20% - Accent1 53 3" xfId="305"/>
    <cellStyle name="20% - Accent1 54" xfId="306"/>
    <cellStyle name="20% - Accent1 54 2" xfId="307"/>
    <cellStyle name="20% - Accent1 54 3" xfId="308"/>
    <cellStyle name="20% - Accent1 55" xfId="309"/>
    <cellStyle name="20% - Accent1 55 2" xfId="310"/>
    <cellStyle name="20% - Accent1 55 3" xfId="311"/>
    <cellStyle name="20% - Accent1 56" xfId="312"/>
    <cellStyle name="20% - Accent1 56 2" xfId="313"/>
    <cellStyle name="20% - Accent1 56 3" xfId="314"/>
    <cellStyle name="20% - Accent1 57" xfId="315"/>
    <cellStyle name="20% - Accent1 57 2" xfId="316"/>
    <cellStyle name="20% - Accent1 57 3" xfId="317"/>
    <cellStyle name="20% - Accent1 58" xfId="318"/>
    <cellStyle name="20% - Accent1 58 2" xfId="319"/>
    <cellStyle name="20% - Accent1 58 3" xfId="320"/>
    <cellStyle name="20% - Accent1 59" xfId="321"/>
    <cellStyle name="20% - Accent1 59 2" xfId="322"/>
    <cellStyle name="20% - Accent1 59 3" xfId="323"/>
    <cellStyle name="20% - Accent1 6" xfId="324"/>
    <cellStyle name="20% - Accent1 6 2" xfId="325"/>
    <cellStyle name="20% - Accent1 6 3" xfId="326"/>
    <cellStyle name="20% - Accent1 60" xfId="327"/>
    <cellStyle name="20% - Accent1 60 2" xfId="328"/>
    <cellStyle name="20% - Accent1 60 3" xfId="329"/>
    <cellStyle name="20% - Accent1 61" xfId="330"/>
    <cellStyle name="20% - Accent1 61 2" xfId="331"/>
    <cellStyle name="20% - Accent1 61 3" xfId="332"/>
    <cellStyle name="20% - Accent1 62" xfId="333"/>
    <cellStyle name="20% - Accent1 62 2" xfId="334"/>
    <cellStyle name="20% - Accent1 62 3" xfId="335"/>
    <cellStyle name="20% - Accent1 63" xfId="336"/>
    <cellStyle name="20% - Accent1 63 2" xfId="337"/>
    <cellStyle name="20% - Accent1 63 3" xfId="338"/>
    <cellStyle name="20% - Accent1 64" xfId="339"/>
    <cellStyle name="20% - Accent1 64 2" xfId="340"/>
    <cellStyle name="20% - Accent1 64 3" xfId="341"/>
    <cellStyle name="20% - Accent1 65" xfId="342"/>
    <cellStyle name="20% - Accent1 65 2" xfId="343"/>
    <cellStyle name="20% - Accent1 65 3" xfId="344"/>
    <cellStyle name="20% - Accent1 66" xfId="345"/>
    <cellStyle name="20% - Accent1 66 2" xfId="346"/>
    <cellStyle name="20% - Accent1 66 3" xfId="347"/>
    <cellStyle name="20% - Accent1 67" xfId="348"/>
    <cellStyle name="20% - Accent1 67 2" xfId="349"/>
    <cellStyle name="20% - Accent1 67 3" xfId="350"/>
    <cellStyle name="20% - Accent1 68" xfId="351"/>
    <cellStyle name="20% - Accent1 68 2" xfId="352"/>
    <cellStyle name="20% - Accent1 68 3" xfId="353"/>
    <cellStyle name="20% - Accent1 69" xfId="354"/>
    <cellStyle name="20% - Accent1 69 2" xfId="355"/>
    <cellStyle name="20% - Accent1 69 3" xfId="356"/>
    <cellStyle name="20% - Accent1 7" xfId="357"/>
    <cellStyle name="20% - Accent1 7 2" xfId="358"/>
    <cellStyle name="20% - Accent1 7 3" xfId="359"/>
    <cellStyle name="20% - Accent1 70" xfId="360"/>
    <cellStyle name="20% - Accent1 70 2" xfId="361"/>
    <cellStyle name="20% - Accent1 70 3" xfId="362"/>
    <cellStyle name="20% - Accent1 71" xfId="363"/>
    <cellStyle name="20% - Accent1 71 2" xfId="364"/>
    <cellStyle name="20% - Accent1 71 3" xfId="365"/>
    <cellStyle name="20% - Accent1 72" xfId="366"/>
    <cellStyle name="20% - Accent1 72 2" xfId="367"/>
    <cellStyle name="20% - Accent1 73" xfId="368"/>
    <cellStyle name="20% - Accent1 73 2" xfId="369"/>
    <cellStyle name="20% - Accent1 74" xfId="370"/>
    <cellStyle name="20% - Accent1 74 2" xfId="371"/>
    <cellStyle name="20% - Accent1 75" xfId="372"/>
    <cellStyle name="20% - Accent1 75 2" xfId="373"/>
    <cellStyle name="20% - Accent1 76" xfId="374"/>
    <cellStyle name="20% - Accent1 76 2" xfId="375"/>
    <cellStyle name="20% - Accent1 77" xfId="376"/>
    <cellStyle name="20% - Accent1 77 2" xfId="377"/>
    <cellStyle name="20% - Accent1 78" xfId="378"/>
    <cellStyle name="20% - Accent1 78 2" xfId="379"/>
    <cellStyle name="20% - Accent1 79" xfId="380"/>
    <cellStyle name="20% - Accent1 79 2" xfId="381"/>
    <cellStyle name="20% - Accent1 8" xfId="382"/>
    <cellStyle name="20% - Accent1 8 2" xfId="383"/>
    <cellStyle name="20% - Accent1 8 3" xfId="384"/>
    <cellStyle name="20% - Accent1 80" xfId="385"/>
    <cellStyle name="20% - Accent1 80 2" xfId="386"/>
    <cellStyle name="20% - Accent1 81" xfId="387"/>
    <cellStyle name="20% - Accent1 81 2" xfId="388"/>
    <cellStyle name="20% - Accent1 82" xfId="389"/>
    <cellStyle name="20% - Accent1 82 2" xfId="390"/>
    <cellStyle name="20% - Accent1 83" xfId="391"/>
    <cellStyle name="20% - Accent1 83 2" xfId="392"/>
    <cellStyle name="20% - Accent1 84" xfId="393"/>
    <cellStyle name="20% - Accent1 84 2" xfId="394"/>
    <cellStyle name="20% - Accent1 85" xfId="395"/>
    <cellStyle name="20% - Accent1 85 2" xfId="396"/>
    <cellStyle name="20% - Accent1 86" xfId="397"/>
    <cellStyle name="20% - Accent1 86 2" xfId="398"/>
    <cellStyle name="20% - Accent1 87" xfId="399"/>
    <cellStyle name="20% - Accent1 87 2" xfId="400"/>
    <cellStyle name="20% - Accent1 88" xfId="401"/>
    <cellStyle name="20% - Accent1 88 2" xfId="402"/>
    <cellStyle name="20% - Accent1 89" xfId="403"/>
    <cellStyle name="20% - Accent1 89 2" xfId="404"/>
    <cellStyle name="20% - Accent1 9" xfId="405"/>
    <cellStyle name="20% - Accent1 9 2" xfId="406"/>
    <cellStyle name="20% - Accent1 9 3" xfId="407"/>
    <cellStyle name="20% - Accent1 90" xfId="408"/>
    <cellStyle name="20% - Accent1 90 2" xfId="409"/>
    <cellStyle name="20% - Accent1 91" xfId="410"/>
    <cellStyle name="20% - Accent1 91 2" xfId="411"/>
    <cellStyle name="20% - Accent1 92" xfId="412"/>
    <cellStyle name="20% - Accent1 92 2" xfId="413"/>
    <cellStyle name="20% - Accent1 93" xfId="414"/>
    <cellStyle name="20% - Accent1 93 2" xfId="415"/>
    <cellStyle name="20% - Accent1 94" xfId="416"/>
    <cellStyle name="20% - Accent1 94 2" xfId="417"/>
    <cellStyle name="20% - Accent1 95" xfId="418"/>
    <cellStyle name="20% - Accent1 95 2" xfId="419"/>
    <cellStyle name="20% - Accent1 96" xfId="420"/>
    <cellStyle name="20% - Accent1 96 2" xfId="421"/>
    <cellStyle name="20% - Accent1 97" xfId="422"/>
    <cellStyle name="20% - Accent1 97 2" xfId="423"/>
    <cellStyle name="20% - Accent1 98" xfId="424"/>
    <cellStyle name="20% - Accent1 98 2" xfId="425"/>
    <cellStyle name="20% - Accent1 99" xfId="426"/>
    <cellStyle name="20% - Accent1 99 2" xfId="427"/>
    <cellStyle name="20% - Accent2 10" xfId="428"/>
    <cellStyle name="20% - Accent2 10 2" xfId="429"/>
    <cellStyle name="20% - Accent2 10 3" xfId="430"/>
    <cellStyle name="20% - Accent2 100" xfId="431"/>
    <cellStyle name="20% - Accent2 100 2" xfId="432"/>
    <cellStyle name="20% - Accent2 101" xfId="433"/>
    <cellStyle name="20% - Accent2 101 2" xfId="434"/>
    <cellStyle name="20% - Accent2 102" xfId="435"/>
    <cellStyle name="20% - Accent2 102 2" xfId="436"/>
    <cellStyle name="20% - Accent2 103" xfId="437"/>
    <cellStyle name="20% - Accent2 103 2" xfId="438"/>
    <cellStyle name="20% - Accent2 104" xfId="439"/>
    <cellStyle name="20% - Accent2 104 2" xfId="440"/>
    <cellStyle name="20% - Accent2 105" xfId="441"/>
    <cellStyle name="20% - Accent2 105 2" xfId="442"/>
    <cellStyle name="20% - Accent2 106" xfId="443"/>
    <cellStyle name="20% - Accent2 106 2" xfId="444"/>
    <cellStyle name="20% - Accent2 107" xfId="445"/>
    <cellStyle name="20% - Accent2 107 2" xfId="446"/>
    <cellStyle name="20% - Accent2 108" xfId="447"/>
    <cellStyle name="20% - Accent2 108 2" xfId="448"/>
    <cellStyle name="20% - Accent2 109" xfId="449"/>
    <cellStyle name="20% - Accent2 109 2" xfId="450"/>
    <cellStyle name="20% - Accent2 11" xfId="451"/>
    <cellStyle name="20% - Accent2 11 2" xfId="452"/>
    <cellStyle name="20% - Accent2 11 3" xfId="453"/>
    <cellStyle name="20% - Accent2 110" xfId="454"/>
    <cellStyle name="20% - Accent2 110 2" xfId="455"/>
    <cellStyle name="20% - Accent2 111" xfId="456"/>
    <cellStyle name="20% - Accent2 111 2" xfId="457"/>
    <cellStyle name="20% - Accent2 112" xfId="458"/>
    <cellStyle name="20% - Accent2 112 2" xfId="459"/>
    <cellStyle name="20% - Accent2 113" xfId="460"/>
    <cellStyle name="20% - Accent2 113 2" xfId="461"/>
    <cellStyle name="20% - Accent2 114" xfId="462"/>
    <cellStyle name="20% - Accent2 114 2" xfId="463"/>
    <cellStyle name="20% - Accent2 115" xfId="464"/>
    <cellStyle name="20% - Accent2 115 2" xfId="465"/>
    <cellStyle name="20% - Accent2 116" xfId="466"/>
    <cellStyle name="20% - Accent2 116 2" xfId="467"/>
    <cellStyle name="20% - Accent2 117" xfId="468"/>
    <cellStyle name="20% - Accent2 117 2" xfId="469"/>
    <cellStyle name="20% - Accent2 118" xfId="470"/>
    <cellStyle name="20% - Accent2 118 2" xfId="471"/>
    <cellStyle name="20% - Accent2 119" xfId="472"/>
    <cellStyle name="20% - Accent2 119 2" xfId="473"/>
    <cellStyle name="20% - Accent2 12" xfId="474"/>
    <cellStyle name="20% - Accent2 12 2" xfId="475"/>
    <cellStyle name="20% - Accent2 12 3" xfId="476"/>
    <cellStyle name="20% - Accent2 120" xfId="477"/>
    <cellStyle name="20% - Accent2 120 2" xfId="478"/>
    <cellStyle name="20% - Accent2 121" xfId="479"/>
    <cellStyle name="20% - Accent2 121 2" xfId="480"/>
    <cellStyle name="20% - Accent2 122" xfId="481"/>
    <cellStyle name="20% - Accent2 122 2" xfId="482"/>
    <cellStyle name="20% - Accent2 123" xfId="483"/>
    <cellStyle name="20% - Accent2 123 2" xfId="484"/>
    <cellStyle name="20% - Accent2 124" xfId="485"/>
    <cellStyle name="20% - Accent2 124 2" xfId="486"/>
    <cellStyle name="20% - Accent2 125" xfId="487"/>
    <cellStyle name="20% - Accent2 125 2" xfId="488"/>
    <cellStyle name="20% - Accent2 126" xfId="489"/>
    <cellStyle name="20% - Accent2 126 2" xfId="490"/>
    <cellStyle name="20% - Accent2 127" xfId="491"/>
    <cellStyle name="20% - Accent2 127 2" xfId="492"/>
    <cellStyle name="20% - Accent2 128" xfId="493"/>
    <cellStyle name="20% - Accent2 128 2" xfId="494"/>
    <cellStyle name="20% - Accent2 129" xfId="495"/>
    <cellStyle name="20% - Accent2 129 2" xfId="496"/>
    <cellStyle name="20% - Accent2 13" xfId="497"/>
    <cellStyle name="20% - Accent2 13 2" xfId="498"/>
    <cellStyle name="20% - Accent2 13 3" xfId="499"/>
    <cellStyle name="20% - Accent2 130" xfId="500"/>
    <cellStyle name="20% - Accent2 130 2" xfId="501"/>
    <cellStyle name="20% - Accent2 131" xfId="502"/>
    <cellStyle name="20% - Accent2 131 2" xfId="503"/>
    <cellStyle name="20% - Accent2 132" xfId="504"/>
    <cellStyle name="20% - Accent2 132 2" xfId="505"/>
    <cellStyle name="20% - Accent2 133" xfId="506"/>
    <cellStyle name="20% - Accent2 133 2" xfId="507"/>
    <cellStyle name="20% - Accent2 134" xfId="508"/>
    <cellStyle name="20% - Accent2 134 2" xfId="509"/>
    <cellStyle name="20% - Accent2 135" xfId="510"/>
    <cellStyle name="20% - Accent2 135 2" xfId="511"/>
    <cellStyle name="20% - Accent2 136" xfId="512"/>
    <cellStyle name="20% - Accent2 136 2" xfId="513"/>
    <cellStyle name="20% - Accent2 137" xfId="514"/>
    <cellStyle name="20% - Accent2 137 2" xfId="515"/>
    <cellStyle name="20% - Accent2 138" xfId="516"/>
    <cellStyle name="20% - Accent2 138 2" xfId="517"/>
    <cellStyle name="20% - Accent2 139" xfId="518"/>
    <cellStyle name="20% - Accent2 139 2" xfId="519"/>
    <cellStyle name="20% - Accent2 14" xfId="520"/>
    <cellStyle name="20% - Accent2 14 2" xfId="521"/>
    <cellStyle name="20% - Accent2 14 3" xfId="522"/>
    <cellStyle name="20% - Accent2 140" xfId="523"/>
    <cellStyle name="20% - Accent2 140 2" xfId="524"/>
    <cellStyle name="20% - Accent2 141" xfId="525"/>
    <cellStyle name="20% - Accent2 141 2" xfId="526"/>
    <cellStyle name="20% - Accent2 142" xfId="527"/>
    <cellStyle name="20% - Accent2 142 2" xfId="528"/>
    <cellStyle name="20% - Accent2 143" xfId="529"/>
    <cellStyle name="20% - Accent2 143 2" xfId="530"/>
    <cellStyle name="20% - Accent2 144" xfId="531"/>
    <cellStyle name="20% - Accent2 144 2" xfId="532"/>
    <cellStyle name="20% - Accent2 145" xfId="533"/>
    <cellStyle name="20% - Accent2 145 2" xfId="534"/>
    <cellStyle name="20% - Accent2 146" xfId="535"/>
    <cellStyle name="20% - Accent2 146 2" xfId="536"/>
    <cellStyle name="20% - Accent2 147" xfId="537"/>
    <cellStyle name="20% - Accent2 147 2" xfId="538"/>
    <cellStyle name="20% - Accent2 148" xfId="539"/>
    <cellStyle name="20% - Accent2 148 2" xfId="540"/>
    <cellStyle name="20% - Accent2 149" xfId="541"/>
    <cellStyle name="20% - Accent2 149 2" xfId="542"/>
    <cellStyle name="20% - Accent2 15" xfId="543"/>
    <cellStyle name="20% - Accent2 15 2" xfId="544"/>
    <cellStyle name="20% - Accent2 15 3" xfId="545"/>
    <cellStyle name="20% - Accent2 150" xfId="546"/>
    <cellStyle name="20% - Accent2 150 2" xfId="547"/>
    <cellStyle name="20% - Accent2 151" xfId="548"/>
    <cellStyle name="20% - Accent2 151 2" xfId="549"/>
    <cellStyle name="20% - Accent2 152" xfId="550"/>
    <cellStyle name="20% - Accent2 152 2" xfId="551"/>
    <cellStyle name="20% - Accent2 153" xfId="552"/>
    <cellStyle name="20% - Accent2 153 2" xfId="553"/>
    <cellStyle name="20% - Accent2 154" xfId="554"/>
    <cellStyle name="20% - Accent2 154 2" xfId="555"/>
    <cellStyle name="20% - Accent2 155" xfId="556"/>
    <cellStyle name="20% - Accent2 155 2" xfId="557"/>
    <cellStyle name="20% - Accent2 156" xfId="558"/>
    <cellStyle name="20% - Accent2 156 2" xfId="559"/>
    <cellStyle name="20% - Accent2 157" xfId="560"/>
    <cellStyle name="20% - Accent2 157 2" xfId="561"/>
    <cellStyle name="20% - Accent2 158" xfId="562"/>
    <cellStyle name="20% - Accent2 158 2" xfId="563"/>
    <cellStyle name="20% - Accent2 159" xfId="564"/>
    <cellStyle name="20% - Accent2 159 2" xfId="565"/>
    <cellStyle name="20% - Accent2 16" xfId="566"/>
    <cellStyle name="20% - Accent2 16 2" xfId="567"/>
    <cellStyle name="20% - Accent2 16 3" xfId="568"/>
    <cellStyle name="20% - Accent2 160" xfId="569"/>
    <cellStyle name="20% - Accent2 160 2" xfId="570"/>
    <cellStyle name="20% - Accent2 161" xfId="571"/>
    <cellStyle name="20% - Accent2 161 2" xfId="572"/>
    <cellStyle name="20% - Accent2 162" xfId="573"/>
    <cellStyle name="20% - Accent2 162 2" xfId="574"/>
    <cellStyle name="20% - Accent2 163" xfId="575"/>
    <cellStyle name="20% - Accent2 163 2" xfId="576"/>
    <cellStyle name="20% - Accent2 164" xfId="577"/>
    <cellStyle name="20% - Accent2 164 2" xfId="578"/>
    <cellStyle name="20% - Accent2 165" xfId="579"/>
    <cellStyle name="20% - Accent2 165 2" xfId="580"/>
    <cellStyle name="20% - Accent2 166" xfId="581"/>
    <cellStyle name="20% - Accent2 166 2" xfId="582"/>
    <cellStyle name="20% - Accent2 167" xfId="583"/>
    <cellStyle name="20% - Accent2 167 2" xfId="584"/>
    <cellStyle name="20% - Accent2 168" xfId="585"/>
    <cellStyle name="20% - Accent2 168 2" xfId="586"/>
    <cellStyle name="20% - Accent2 169" xfId="587"/>
    <cellStyle name="20% - Accent2 169 2" xfId="588"/>
    <cellStyle name="20% - Accent2 17" xfId="589"/>
    <cellStyle name="20% - Accent2 17 2" xfId="590"/>
    <cellStyle name="20% - Accent2 17 3" xfId="591"/>
    <cellStyle name="20% - Accent2 170" xfId="592"/>
    <cellStyle name="20% - Accent2 170 2" xfId="593"/>
    <cellStyle name="20% - Accent2 171" xfId="594"/>
    <cellStyle name="20% - Accent2 171 2" xfId="595"/>
    <cellStyle name="20% - Accent2 172" xfId="596"/>
    <cellStyle name="20% - Accent2 172 2" xfId="597"/>
    <cellStyle name="20% - Accent2 173" xfId="598"/>
    <cellStyle name="20% - Accent2 173 2" xfId="599"/>
    <cellStyle name="20% - Accent2 174" xfId="600"/>
    <cellStyle name="20% - Accent2 174 2" xfId="601"/>
    <cellStyle name="20% - Accent2 175" xfId="602"/>
    <cellStyle name="20% - Accent2 175 2" xfId="603"/>
    <cellStyle name="20% - Accent2 176" xfId="604"/>
    <cellStyle name="20% - Accent2 176 2" xfId="605"/>
    <cellStyle name="20% - Accent2 177" xfId="606"/>
    <cellStyle name="20% - Accent2 177 2" xfId="607"/>
    <cellStyle name="20% - Accent2 18" xfId="608"/>
    <cellStyle name="20% - Accent2 18 2" xfId="609"/>
    <cellStyle name="20% - Accent2 18 3" xfId="610"/>
    <cellStyle name="20% - Accent2 19" xfId="611"/>
    <cellStyle name="20% - Accent2 19 2" xfId="612"/>
    <cellStyle name="20% - Accent2 19 3" xfId="613"/>
    <cellStyle name="20% - Accent2 2" xfId="614"/>
    <cellStyle name="20% - Accent2 2 2" xfId="615"/>
    <cellStyle name="20% - Accent2 2 3" xfId="616"/>
    <cellStyle name="20% - Accent2 2 4" xfId="617"/>
    <cellStyle name="20% - Accent2 20" xfId="618"/>
    <cellStyle name="20% - Accent2 20 2" xfId="619"/>
    <cellStyle name="20% - Accent2 20 3" xfId="620"/>
    <cellStyle name="20% - Accent2 21" xfId="621"/>
    <cellStyle name="20% - Accent2 21 2" xfId="622"/>
    <cellStyle name="20% - Accent2 21 3" xfId="623"/>
    <cellStyle name="20% - Accent2 22" xfId="624"/>
    <cellStyle name="20% - Accent2 22 2" xfId="625"/>
    <cellStyle name="20% - Accent2 22 3" xfId="626"/>
    <cellStyle name="20% - Accent2 23" xfId="627"/>
    <cellStyle name="20% - Accent2 23 2" xfId="628"/>
    <cellStyle name="20% - Accent2 23 3" xfId="629"/>
    <cellStyle name="20% - Accent2 24" xfId="630"/>
    <cellStyle name="20% - Accent2 24 2" xfId="631"/>
    <cellStyle name="20% - Accent2 24 3" xfId="632"/>
    <cellStyle name="20% - Accent2 25" xfId="633"/>
    <cellStyle name="20% - Accent2 25 2" xfId="634"/>
    <cellStyle name="20% - Accent2 25 3" xfId="635"/>
    <cellStyle name="20% - Accent2 26" xfId="636"/>
    <cellStyle name="20% - Accent2 26 2" xfId="637"/>
    <cellStyle name="20% - Accent2 26 3" xfId="638"/>
    <cellStyle name="20% - Accent2 27" xfId="639"/>
    <cellStyle name="20% - Accent2 27 2" xfId="640"/>
    <cellStyle name="20% - Accent2 27 3" xfId="641"/>
    <cellStyle name="20% - Accent2 28" xfId="642"/>
    <cellStyle name="20% - Accent2 28 2" xfId="643"/>
    <cellStyle name="20% - Accent2 28 3" xfId="644"/>
    <cellStyle name="20% - Accent2 29" xfId="645"/>
    <cellStyle name="20% - Accent2 29 2" xfId="646"/>
    <cellStyle name="20% - Accent2 29 3" xfId="647"/>
    <cellStyle name="20% - Accent2 3" xfId="648"/>
    <cellStyle name="20% - Accent2 3 2" xfId="649"/>
    <cellStyle name="20% - Accent2 3 3" xfId="650"/>
    <cellStyle name="20% - Accent2 30" xfId="651"/>
    <cellStyle name="20% - Accent2 30 2" xfId="652"/>
    <cellStyle name="20% - Accent2 30 3" xfId="653"/>
    <cellStyle name="20% - Accent2 31" xfId="654"/>
    <cellStyle name="20% - Accent2 31 2" xfId="655"/>
    <cellStyle name="20% - Accent2 31 3" xfId="656"/>
    <cellStyle name="20% - Accent2 32" xfId="657"/>
    <cellStyle name="20% - Accent2 32 2" xfId="658"/>
    <cellStyle name="20% - Accent2 32 3" xfId="659"/>
    <cellStyle name="20% - Accent2 33" xfId="660"/>
    <cellStyle name="20% - Accent2 33 2" xfId="661"/>
    <cellStyle name="20% - Accent2 33 3" xfId="662"/>
    <cellStyle name="20% - Accent2 34" xfId="663"/>
    <cellStyle name="20% - Accent2 34 2" xfId="664"/>
    <cellStyle name="20% - Accent2 34 3" xfId="665"/>
    <cellStyle name="20% - Accent2 35" xfId="666"/>
    <cellStyle name="20% - Accent2 35 2" xfId="667"/>
    <cellStyle name="20% - Accent2 35 3" xfId="668"/>
    <cellStyle name="20% - Accent2 36" xfId="669"/>
    <cellStyle name="20% - Accent2 36 2" xfId="670"/>
    <cellStyle name="20% - Accent2 36 3" xfId="671"/>
    <cellStyle name="20% - Accent2 37" xfId="672"/>
    <cellStyle name="20% - Accent2 37 2" xfId="673"/>
    <cellStyle name="20% - Accent2 37 3" xfId="674"/>
    <cellStyle name="20% - Accent2 38" xfId="675"/>
    <cellStyle name="20% - Accent2 38 2" xfId="676"/>
    <cellStyle name="20% - Accent2 38 3" xfId="677"/>
    <cellStyle name="20% - Accent2 39" xfId="678"/>
    <cellStyle name="20% - Accent2 39 2" xfId="679"/>
    <cellStyle name="20% - Accent2 39 3" xfId="680"/>
    <cellStyle name="20% - Accent2 4" xfId="681"/>
    <cellStyle name="20% - Accent2 4 2" xfId="682"/>
    <cellStyle name="20% - Accent2 4 3" xfId="683"/>
    <cellStyle name="20% - Accent2 40" xfId="684"/>
    <cellStyle name="20% - Accent2 40 2" xfId="685"/>
    <cellStyle name="20% - Accent2 40 3" xfId="686"/>
    <cellStyle name="20% - Accent2 41" xfId="687"/>
    <cellStyle name="20% - Accent2 41 2" xfId="688"/>
    <cellStyle name="20% - Accent2 41 3" xfId="689"/>
    <cellStyle name="20% - Accent2 42" xfId="690"/>
    <cellStyle name="20% - Accent2 42 2" xfId="691"/>
    <cellStyle name="20% - Accent2 42 3" xfId="692"/>
    <cellStyle name="20% - Accent2 43" xfId="693"/>
    <cellStyle name="20% - Accent2 43 2" xfId="694"/>
    <cellStyle name="20% - Accent2 43 3" xfId="695"/>
    <cellStyle name="20% - Accent2 44" xfId="696"/>
    <cellStyle name="20% - Accent2 44 2" xfId="697"/>
    <cellStyle name="20% - Accent2 44 3" xfId="698"/>
    <cellStyle name="20% - Accent2 45" xfId="699"/>
    <cellStyle name="20% - Accent2 45 2" xfId="700"/>
    <cellStyle name="20% - Accent2 45 3" xfId="701"/>
    <cellStyle name="20% - Accent2 46" xfId="702"/>
    <cellStyle name="20% - Accent2 46 2" xfId="703"/>
    <cellStyle name="20% - Accent2 46 3" xfId="704"/>
    <cellStyle name="20% - Accent2 47" xfId="705"/>
    <cellStyle name="20% - Accent2 47 2" xfId="706"/>
    <cellStyle name="20% - Accent2 47 3" xfId="707"/>
    <cellStyle name="20% - Accent2 48" xfId="708"/>
    <cellStyle name="20% - Accent2 48 2" xfId="709"/>
    <cellStyle name="20% - Accent2 48 3" xfId="710"/>
    <cellStyle name="20% - Accent2 49" xfId="711"/>
    <cellStyle name="20% - Accent2 49 2" xfId="712"/>
    <cellStyle name="20% - Accent2 49 3" xfId="713"/>
    <cellStyle name="20% - Accent2 5" xfId="714"/>
    <cellStyle name="20% - Accent2 5 2" xfId="715"/>
    <cellStyle name="20% - Accent2 5 3" xfId="716"/>
    <cellStyle name="20% - Accent2 50" xfId="717"/>
    <cellStyle name="20% - Accent2 50 2" xfId="718"/>
    <cellStyle name="20% - Accent2 50 3" xfId="719"/>
    <cellStyle name="20% - Accent2 51" xfId="720"/>
    <cellStyle name="20% - Accent2 51 2" xfId="721"/>
    <cellStyle name="20% - Accent2 51 3" xfId="722"/>
    <cellStyle name="20% - Accent2 52" xfId="723"/>
    <cellStyle name="20% - Accent2 52 2" xfId="724"/>
    <cellStyle name="20% - Accent2 52 3" xfId="725"/>
    <cellStyle name="20% - Accent2 53" xfId="726"/>
    <cellStyle name="20% - Accent2 53 2" xfId="727"/>
    <cellStyle name="20% - Accent2 53 3" xfId="728"/>
    <cellStyle name="20% - Accent2 54" xfId="729"/>
    <cellStyle name="20% - Accent2 54 2" xfId="730"/>
    <cellStyle name="20% - Accent2 54 3" xfId="731"/>
    <cellStyle name="20% - Accent2 55" xfId="732"/>
    <cellStyle name="20% - Accent2 55 2" xfId="733"/>
    <cellStyle name="20% - Accent2 55 3" xfId="734"/>
    <cellStyle name="20% - Accent2 56" xfId="735"/>
    <cellStyle name="20% - Accent2 56 2" xfId="736"/>
    <cellStyle name="20% - Accent2 56 3" xfId="737"/>
    <cellStyle name="20% - Accent2 57" xfId="738"/>
    <cellStyle name="20% - Accent2 57 2" xfId="739"/>
    <cellStyle name="20% - Accent2 57 3" xfId="740"/>
    <cellStyle name="20% - Accent2 58" xfId="741"/>
    <cellStyle name="20% - Accent2 58 2" xfId="742"/>
    <cellStyle name="20% - Accent2 58 3" xfId="743"/>
    <cellStyle name="20% - Accent2 59" xfId="744"/>
    <cellStyle name="20% - Accent2 59 2" xfId="745"/>
    <cellStyle name="20% - Accent2 59 3" xfId="746"/>
    <cellStyle name="20% - Accent2 6" xfId="747"/>
    <cellStyle name="20% - Accent2 6 2" xfId="748"/>
    <cellStyle name="20% - Accent2 6 3" xfId="749"/>
    <cellStyle name="20% - Accent2 60" xfId="750"/>
    <cellStyle name="20% - Accent2 60 2" xfId="751"/>
    <cellStyle name="20% - Accent2 60 3" xfId="752"/>
    <cellStyle name="20% - Accent2 61" xfId="753"/>
    <cellStyle name="20% - Accent2 61 2" xfId="754"/>
    <cellStyle name="20% - Accent2 61 3" xfId="755"/>
    <cellStyle name="20% - Accent2 62" xfId="756"/>
    <cellStyle name="20% - Accent2 62 2" xfId="757"/>
    <cellStyle name="20% - Accent2 62 3" xfId="758"/>
    <cellStyle name="20% - Accent2 63" xfId="759"/>
    <cellStyle name="20% - Accent2 63 2" xfId="760"/>
    <cellStyle name="20% - Accent2 63 3" xfId="761"/>
    <cellStyle name="20% - Accent2 64" xfId="762"/>
    <cellStyle name="20% - Accent2 64 2" xfId="763"/>
    <cellStyle name="20% - Accent2 64 3" xfId="764"/>
    <cellStyle name="20% - Accent2 65" xfId="765"/>
    <cellStyle name="20% - Accent2 65 2" xfId="766"/>
    <cellStyle name="20% - Accent2 65 3" xfId="767"/>
    <cellStyle name="20% - Accent2 66" xfId="768"/>
    <cellStyle name="20% - Accent2 66 2" xfId="769"/>
    <cellStyle name="20% - Accent2 66 3" xfId="770"/>
    <cellStyle name="20% - Accent2 67" xfId="771"/>
    <cellStyle name="20% - Accent2 67 2" xfId="772"/>
    <cellStyle name="20% - Accent2 67 3" xfId="773"/>
    <cellStyle name="20% - Accent2 68" xfId="774"/>
    <cellStyle name="20% - Accent2 68 2" xfId="775"/>
    <cellStyle name="20% - Accent2 68 3" xfId="776"/>
    <cellStyle name="20% - Accent2 69" xfId="777"/>
    <cellStyle name="20% - Accent2 69 2" xfId="778"/>
    <cellStyle name="20% - Accent2 69 3" xfId="779"/>
    <cellStyle name="20% - Accent2 7" xfId="780"/>
    <cellStyle name="20% - Accent2 7 2" xfId="781"/>
    <cellStyle name="20% - Accent2 7 3" xfId="782"/>
    <cellStyle name="20% - Accent2 70" xfId="783"/>
    <cellStyle name="20% - Accent2 70 2" xfId="784"/>
    <cellStyle name="20% - Accent2 70 3" xfId="785"/>
    <cellStyle name="20% - Accent2 71" xfId="786"/>
    <cellStyle name="20% - Accent2 71 2" xfId="787"/>
    <cellStyle name="20% - Accent2 71 3" xfId="788"/>
    <cellStyle name="20% - Accent2 72" xfId="789"/>
    <cellStyle name="20% - Accent2 72 2" xfId="790"/>
    <cellStyle name="20% - Accent2 73" xfId="791"/>
    <cellStyle name="20% - Accent2 73 2" xfId="792"/>
    <cellStyle name="20% - Accent2 74" xfId="793"/>
    <cellStyle name="20% - Accent2 74 2" xfId="794"/>
    <cellStyle name="20% - Accent2 75" xfId="795"/>
    <cellStyle name="20% - Accent2 75 2" xfId="796"/>
    <cellStyle name="20% - Accent2 76" xfId="797"/>
    <cellStyle name="20% - Accent2 76 2" xfId="798"/>
    <cellStyle name="20% - Accent2 77" xfId="799"/>
    <cellStyle name="20% - Accent2 77 2" xfId="800"/>
    <cellStyle name="20% - Accent2 78" xfId="801"/>
    <cellStyle name="20% - Accent2 78 2" xfId="802"/>
    <cellStyle name="20% - Accent2 79" xfId="803"/>
    <cellStyle name="20% - Accent2 79 2" xfId="804"/>
    <cellStyle name="20% - Accent2 8" xfId="805"/>
    <cellStyle name="20% - Accent2 8 2" xfId="806"/>
    <cellStyle name="20% - Accent2 8 3" xfId="807"/>
    <cellStyle name="20% - Accent2 80" xfId="808"/>
    <cellStyle name="20% - Accent2 80 2" xfId="809"/>
    <cellStyle name="20% - Accent2 81" xfId="810"/>
    <cellStyle name="20% - Accent2 81 2" xfId="811"/>
    <cellStyle name="20% - Accent2 82" xfId="812"/>
    <cellStyle name="20% - Accent2 82 2" xfId="813"/>
    <cellStyle name="20% - Accent2 83" xfId="814"/>
    <cellStyle name="20% - Accent2 83 2" xfId="815"/>
    <cellStyle name="20% - Accent2 84" xfId="816"/>
    <cellStyle name="20% - Accent2 84 2" xfId="817"/>
    <cellStyle name="20% - Accent2 85" xfId="818"/>
    <cellStyle name="20% - Accent2 85 2" xfId="819"/>
    <cellStyle name="20% - Accent2 86" xfId="820"/>
    <cellStyle name="20% - Accent2 86 2" xfId="821"/>
    <cellStyle name="20% - Accent2 87" xfId="822"/>
    <cellStyle name="20% - Accent2 87 2" xfId="823"/>
    <cellStyle name="20% - Accent2 88" xfId="824"/>
    <cellStyle name="20% - Accent2 88 2" xfId="825"/>
    <cellStyle name="20% - Accent2 89" xfId="826"/>
    <cellStyle name="20% - Accent2 89 2" xfId="827"/>
    <cellStyle name="20% - Accent2 9" xfId="828"/>
    <cellStyle name="20% - Accent2 9 2" xfId="829"/>
    <cellStyle name="20% - Accent2 9 3" xfId="830"/>
    <cellStyle name="20% - Accent2 90" xfId="831"/>
    <cellStyle name="20% - Accent2 90 2" xfId="832"/>
    <cellStyle name="20% - Accent2 91" xfId="833"/>
    <cellStyle name="20% - Accent2 91 2" xfId="834"/>
    <cellStyle name="20% - Accent2 92" xfId="835"/>
    <cellStyle name="20% - Accent2 92 2" xfId="836"/>
    <cellStyle name="20% - Accent2 93" xfId="837"/>
    <cellStyle name="20% - Accent2 93 2" xfId="838"/>
    <cellStyle name="20% - Accent2 94" xfId="839"/>
    <cellStyle name="20% - Accent2 94 2" xfId="840"/>
    <cellStyle name="20% - Accent2 95" xfId="841"/>
    <cellStyle name="20% - Accent2 95 2" xfId="842"/>
    <cellStyle name="20% - Accent2 96" xfId="843"/>
    <cellStyle name="20% - Accent2 96 2" xfId="844"/>
    <cellStyle name="20% - Accent2 97" xfId="845"/>
    <cellStyle name="20% - Accent2 97 2" xfId="846"/>
    <cellStyle name="20% - Accent2 98" xfId="847"/>
    <cellStyle name="20% - Accent2 98 2" xfId="848"/>
    <cellStyle name="20% - Accent2 99" xfId="849"/>
    <cellStyle name="20% - Accent2 99 2" xfId="850"/>
    <cellStyle name="20% - Accent3 10" xfId="851"/>
    <cellStyle name="20% - Accent3 10 2" xfId="852"/>
    <cellStyle name="20% - Accent3 10 3" xfId="853"/>
    <cellStyle name="20% - Accent3 100" xfId="854"/>
    <cellStyle name="20% - Accent3 100 2" xfId="855"/>
    <cellStyle name="20% - Accent3 101" xfId="856"/>
    <cellStyle name="20% - Accent3 101 2" xfId="857"/>
    <cellStyle name="20% - Accent3 102" xfId="858"/>
    <cellStyle name="20% - Accent3 102 2" xfId="859"/>
    <cellStyle name="20% - Accent3 103" xfId="860"/>
    <cellStyle name="20% - Accent3 103 2" xfId="861"/>
    <cellStyle name="20% - Accent3 104" xfId="862"/>
    <cellStyle name="20% - Accent3 104 2" xfId="863"/>
    <cellStyle name="20% - Accent3 105" xfId="864"/>
    <cellStyle name="20% - Accent3 105 2" xfId="865"/>
    <cellStyle name="20% - Accent3 106" xfId="866"/>
    <cellStyle name="20% - Accent3 106 2" xfId="867"/>
    <cellStyle name="20% - Accent3 107" xfId="868"/>
    <cellStyle name="20% - Accent3 107 2" xfId="869"/>
    <cellStyle name="20% - Accent3 108" xfId="870"/>
    <cellStyle name="20% - Accent3 108 2" xfId="871"/>
    <cellStyle name="20% - Accent3 109" xfId="872"/>
    <cellStyle name="20% - Accent3 109 2" xfId="873"/>
    <cellStyle name="20% - Accent3 11" xfId="874"/>
    <cellStyle name="20% - Accent3 11 2" xfId="875"/>
    <cellStyle name="20% - Accent3 11 3" xfId="876"/>
    <cellStyle name="20% - Accent3 110" xfId="877"/>
    <cellStyle name="20% - Accent3 110 2" xfId="878"/>
    <cellStyle name="20% - Accent3 111" xfId="879"/>
    <cellStyle name="20% - Accent3 111 2" xfId="880"/>
    <cellStyle name="20% - Accent3 112" xfId="881"/>
    <cellStyle name="20% - Accent3 112 2" xfId="882"/>
    <cellStyle name="20% - Accent3 113" xfId="883"/>
    <cellStyle name="20% - Accent3 113 2" xfId="884"/>
    <cellStyle name="20% - Accent3 114" xfId="885"/>
    <cellStyle name="20% - Accent3 114 2" xfId="886"/>
    <cellStyle name="20% - Accent3 115" xfId="887"/>
    <cellStyle name="20% - Accent3 115 2" xfId="888"/>
    <cellStyle name="20% - Accent3 116" xfId="889"/>
    <cellStyle name="20% - Accent3 116 2" xfId="890"/>
    <cellStyle name="20% - Accent3 117" xfId="891"/>
    <cellStyle name="20% - Accent3 117 2" xfId="892"/>
    <cellStyle name="20% - Accent3 118" xfId="893"/>
    <cellStyle name="20% - Accent3 118 2" xfId="894"/>
    <cellStyle name="20% - Accent3 119" xfId="895"/>
    <cellStyle name="20% - Accent3 119 2" xfId="896"/>
    <cellStyle name="20% - Accent3 12" xfId="897"/>
    <cellStyle name="20% - Accent3 12 2" xfId="898"/>
    <cellStyle name="20% - Accent3 12 3" xfId="899"/>
    <cellStyle name="20% - Accent3 120" xfId="900"/>
    <cellStyle name="20% - Accent3 120 2" xfId="901"/>
    <cellStyle name="20% - Accent3 121" xfId="902"/>
    <cellStyle name="20% - Accent3 121 2" xfId="903"/>
    <cellStyle name="20% - Accent3 122" xfId="904"/>
    <cellStyle name="20% - Accent3 122 2" xfId="905"/>
    <cellStyle name="20% - Accent3 123" xfId="906"/>
    <cellStyle name="20% - Accent3 123 2" xfId="907"/>
    <cellStyle name="20% - Accent3 124" xfId="908"/>
    <cellStyle name="20% - Accent3 124 2" xfId="909"/>
    <cellStyle name="20% - Accent3 125" xfId="910"/>
    <cellStyle name="20% - Accent3 125 2" xfId="911"/>
    <cellStyle name="20% - Accent3 126" xfId="912"/>
    <cellStyle name="20% - Accent3 126 2" xfId="913"/>
    <cellStyle name="20% - Accent3 127" xfId="914"/>
    <cellStyle name="20% - Accent3 127 2" xfId="915"/>
    <cellStyle name="20% - Accent3 128" xfId="916"/>
    <cellStyle name="20% - Accent3 128 2" xfId="917"/>
    <cellStyle name="20% - Accent3 129" xfId="918"/>
    <cellStyle name="20% - Accent3 129 2" xfId="919"/>
    <cellStyle name="20% - Accent3 13" xfId="920"/>
    <cellStyle name="20% - Accent3 13 2" xfId="921"/>
    <cellStyle name="20% - Accent3 13 3" xfId="922"/>
    <cellStyle name="20% - Accent3 130" xfId="923"/>
    <cellStyle name="20% - Accent3 130 2" xfId="924"/>
    <cellStyle name="20% - Accent3 131" xfId="925"/>
    <cellStyle name="20% - Accent3 131 2" xfId="926"/>
    <cellStyle name="20% - Accent3 132" xfId="927"/>
    <cellStyle name="20% - Accent3 132 2" xfId="928"/>
    <cellStyle name="20% - Accent3 133" xfId="929"/>
    <cellStyle name="20% - Accent3 133 2" xfId="930"/>
    <cellStyle name="20% - Accent3 134" xfId="931"/>
    <cellStyle name="20% - Accent3 134 2" xfId="932"/>
    <cellStyle name="20% - Accent3 135" xfId="933"/>
    <cellStyle name="20% - Accent3 135 2" xfId="934"/>
    <cellStyle name="20% - Accent3 136" xfId="935"/>
    <cellStyle name="20% - Accent3 136 2" xfId="936"/>
    <cellStyle name="20% - Accent3 137" xfId="937"/>
    <cellStyle name="20% - Accent3 137 2" xfId="938"/>
    <cellStyle name="20% - Accent3 138" xfId="939"/>
    <cellStyle name="20% - Accent3 138 2" xfId="940"/>
    <cellStyle name="20% - Accent3 139" xfId="941"/>
    <cellStyle name="20% - Accent3 139 2" xfId="942"/>
    <cellStyle name="20% - Accent3 14" xfId="943"/>
    <cellStyle name="20% - Accent3 14 2" xfId="944"/>
    <cellStyle name="20% - Accent3 14 3" xfId="945"/>
    <cellStyle name="20% - Accent3 140" xfId="946"/>
    <cellStyle name="20% - Accent3 140 2" xfId="947"/>
    <cellStyle name="20% - Accent3 141" xfId="948"/>
    <cellStyle name="20% - Accent3 141 2" xfId="949"/>
    <cellStyle name="20% - Accent3 142" xfId="950"/>
    <cellStyle name="20% - Accent3 142 2" xfId="951"/>
    <cellStyle name="20% - Accent3 143" xfId="952"/>
    <cellStyle name="20% - Accent3 143 2" xfId="953"/>
    <cellStyle name="20% - Accent3 144" xfId="954"/>
    <cellStyle name="20% - Accent3 144 2" xfId="955"/>
    <cellStyle name="20% - Accent3 145" xfId="956"/>
    <cellStyle name="20% - Accent3 145 2" xfId="957"/>
    <cellStyle name="20% - Accent3 146" xfId="958"/>
    <cellStyle name="20% - Accent3 146 2" xfId="959"/>
    <cellStyle name="20% - Accent3 147" xfId="960"/>
    <cellStyle name="20% - Accent3 147 2" xfId="961"/>
    <cellStyle name="20% - Accent3 148" xfId="962"/>
    <cellStyle name="20% - Accent3 148 2" xfId="963"/>
    <cellStyle name="20% - Accent3 149" xfId="964"/>
    <cellStyle name="20% - Accent3 149 2" xfId="965"/>
    <cellStyle name="20% - Accent3 15" xfId="966"/>
    <cellStyle name="20% - Accent3 15 2" xfId="967"/>
    <cellStyle name="20% - Accent3 15 3" xfId="968"/>
    <cellStyle name="20% - Accent3 150" xfId="969"/>
    <cellStyle name="20% - Accent3 150 2" xfId="970"/>
    <cellStyle name="20% - Accent3 151" xfId="971"/>
    <cellStyle name="20% - Accent3 151 2" xfId="972"/>
    <cellStyle name="20% - Accent3 152" xfId="973"/>
    <cellStyle name="20% - Accent3 152 2" xfId="974"/>
    <cellStyle name="20% - Accent3 153" xfId="975"/>
    <cellStyle name="20% - Accent3 153 2" xfId="976"/>
    <cellStyle name="20% - Accent3 154" xfId="977"/>
    <cellStyle name="20% - Accent3 154 2" xfId="978"/>
    <cellStyle name="20% - Accent3 155" xfId="979"/>
    <cellStyle name="20% - Accent3 155 2" xfId="980"/>
    <cellStyle name="20% - Accent3 156" xfId="981"/>
    <cellStyle name="20% - Accent3 156 2" xfId="982"/>
    <cellStyle name="20% - Accent3 157" xfId="983"/>
    <cellStyle name="20% - Accent3 157 2" xfId="984"/>
    <cellStyle name="20% - Accent3 158" xfId="985"/>
    <cellStyle name="20% - Accent3 158 2" xfId="986"/>
    <cellStyle name="20% - Accent3 159" xfId="987"/>
    <cellStyle name="20% - Accent3 159 2" xfId="988"/>
    <cellStyle name="20% - Accent3 16" xfId="989"/>
    <cellStyle name="20% - Accent3 16 2" xfId="990"/>
    <cellStyle name="20% - Accent3 16 3" xfId="991"/>
    <cellStyle name="20% - Accent3 160" xfId="992"/>
    <cellStyle name="20% - Accent3 160 2" xfId="993"/>
    <cellStyle name="20% - Accent3 161" xfId="994"/>
    <cellStyle name="20% - Accent3 161 2" xfId="995"/>
    <cellStyle name="20% - Accent3 162" xfId="996"/>
    <cellStyle name="20% - Accent3 162 2" xfId="997"/>
    <cellStyle name="20% - Accent3 163" xfId="998"/>
    <cellStyle name="20% - Accent3 163 2" xfId="999"/>
    <cellStyle name="20% - Accent3 164" xfId="1000"/>
    <cellStyle name="20% - Accent3 164 2" xfId="1001"/>
    <cellStyle name="20% - Accent3 165" xfId="1002"/>
    <cellStyle name="20% - Accent3 165 2" xfId="1003"/>
    <cellStyle name="20% - Accent3 166" xfId="1004"/>
    <cellStyle name="20% - Accent3 166 2" xfId="1005"/>
    <cellStyle name="20% - Accent3 167" xfId="1006"/>
    <cellStyle name="20% - Accent3 167 2" xfId="1007"/>
    <cellStyle name="20% - Accent3 168" xfId="1008"/>
    <cellStyle name="20% - Accent3 168 2" xfId="1009"/>
    <cellStyle name="20% - Accent3 169" xfId="1010"/>
    <cellStyle name="20% - Accent3 169 2" xfId="1011"/>
    <cellStyle name="20% - Accent3 17" xfId="1012"/>
    <cellStyle name="20% - Accent3 17 2" xfId="1013"/>
    <cellStyle name="20% - Accent3 17 3" xfId="1014"/>
    <cellStyle name="20% - Accent3 170" xfId="1015"/>
    <cellStyle name="20% - Accent3 170 2" xfId="1016"/>
    <cellStyle name="20% - Accent3 171" xfId="1017"/>
    <cellStyle name="20% - Accent3 171 2" xfId="1018"/>
    <cellStyle name="20% - Accent3 172" xfId="1019"/>
    <cellStyle name="20% - Accent3 172 2" xfId="1020"/>
    <cellStyle name="20% - Accent3 173" xfId="1021"/>
    <cellStyle name="20% - Accent3 173 2" xfId="1022"/>
    <cellStyle name="20% - Accent3 174" xfId="1023"/>
    <cellStyle name="20% - Accent3 174 2" xfId="1024"/>
    <cellStyle name="20% - Accent3 175" xfId="1025"/>
    <cellStyle name="20% - Accent3 175 2" xfId="1026"/>
    <cellStyle name="20% - Accent3 176" xfId="1027"/>
    <cellStyle name="20% - Accent3 176 2" xfId="1028"/>
    <cellStyle name="20% - Accent3 177" xfId="1029"/>
    <cellStyle name="20% - Accent3 177 2" xfId="1030"/>
    <cellStyle name="20% - Accent3 18" xfId="1031"/>
    <cellStyle name="20% - Accent3 18 2" xfId="1032"/>
    <cellStyle name="20% - Accent3 18 3" xfId="1033"/>
    <cellStyle name="20% - Accent3 19" xfId="1034"/>
    <cellStyle name="20% - Accent3 19 2" xfId="1035"/>
    <cellStyle name="20% - Accent3 19 3" xfId="1036"/>
    <cellStyle name="20% - Accent3 2" xfId="1037"/>
    <cellStyle name="20% - Accent3 2 2" xfId="1038"/>
    <cellStyle name="20% - Accent3 2 3" xfId="1039"/>
    <cellStyle name="20% - Accent3 2 4" xfId="1040"/>
    <cellStyle name="20% - Accent3 20" xfId="1041"/>
    <cellStyle name="20% - Accent3 20 2" xfId="1042"/>
    <cellStyle name="20% - Accent3 20 3" xfId="1043"/>
    <cellStyle name="20% - Accent3 21" xfId="1044"/>
    <cellStyle name="20% - Accent3 21 2" xfId="1045"/>
    <cellStyle name="20% - Accent3 21 3" xfId="1046"/>
    <cellStyle name="20% - Accent3 22" xfId="1047"/>
    <cellStyle name="20% - Accent3 22 2" xfId="1048"/>
    <cellStyle name="20% - Accent3 22 3" xfId="1049"/>
    <cellStyle name="20% - Accent3 23" xfId="1050"/>
    <cellStyle name="20% - Accent3 23 2" xfId="1051"/>
    <cellStyle name="20% - Accent3 23 3" xfId="1052"/>
    <cellStyle name="20% - Accent3 24" xfId="1053"/>
    <cellStyle name="20% - Accent3 24 2" xfId="1054"/>
    <cellStyle name="20% - Accent3 24 3" xfId="1055"/>
    <cellStyle name="20% - Accent3 25" xfId="1056"/>
    <cellStyle name="20% - Accent3 25 2" xfId="1057"/>
    <cellStyle name="20% - Accent3 25 3" xfId="1058"/>
    <cellStyle name="20% - Accent3 26" xfId="1059"/>
    <cellStyle name="20% - Accent3 26 2" xfId="1060"/>
    <cellStyle name="20% - Accent3 26 3" xfId="1061"/>
    <cellStyle name="20% - Accent3 27" xfId="1062"/>
    <cellStyle name="20% - Accent3 27 2" xfId="1063"/>
    <cellStyle name="20% - Accent3 27 3" xfId="1064"/>
    <cellStyle name="20% - Accent3 28" xfId="1065"/>
    <cellStyle name="20% - Accent3 28 2" xfId="1066"/>
    <cellStyle name="20% - Accent3 28 3" xfId="1067"/>
    <cellStyle name="20% - Accent3 29" xfId="1068"/>
    <cellStyle name="20% - Accent3 29 2" xfId="1069"/>
    <cellStyle name="20% - Accent3 29 3" xfId="1070"/>
    <cellStyle name="20% - Accent3 3" xfId="1071"/>
    <cellStyle name="20% - Accent3 3 2" xfId="1072"/>
    <cellStyle name="20% - Accent3 3 3" xfId="1073"/>
    <cellStyle name="20% - Accent3 30" xfId="1074"/>
    <cellStyle name="20% - Accent3 30 2" xfId="1075"/>
    <cellStyle name="20% - Accent3 30 3" xfId="1076"/>
    <cellStyle name="20% - Accent3 31" xfId="1077"/>
    <cellStyle name="20% - Accent3 31 2" xfId="1078"/>
    <cellStyle name="20% - Accent3 31 3" xfId="1079"/>
    <cellStyle name="20% - Accent3 32" xfId="1080"/>
    <cellStyle name="20% - Accent3 32 2" xfId="1081"/>
    <cellStyle name="20% - Accent3 32 3" xfId="1082"/>
    <cellStyle name="20% - Accent3 33" xfId="1083"/>
    <cellStyle name="20% - Accent3 33 2" xfId="1084"/>
    <cellStyle name="20% - Accent3 33 3" xfId="1085"/>
    <cellStyle name="20% - Accent3 34" xfId="1086"/>
    <cellStyle name="20% - Accent3 34 2" xfId="1087"/>
    <cellStyle name="20% - Accent3 34 3" xfId="1088"/>
    <cellStyle name="20% - Accent3 35" xfId="1089"/>
    <cellStyle name="20% - Accent3 35 2" xfId="1090"/>
    <cellStyle name="20% - Accent3 35 3" xfId="1091"/>
    <cellStyle name="20% - Accent3 36" xfId="1092"/>
    <cellStyle name="20% - Accent3 36 2" xfId="1093"/>
    <cellStyle name="20% - Accent3 36 3" xfId="1094"/>
    <cellStyle name="20% - Accent3 37" xfId="1095"/>
    <cellStyle name="20% - Accent3 37 2" xfId="1096"/>
    <cellStyle name="20% - Accent3 37 3" xfId="1097"/>
    <cellStyle name="20% - Accent3 38" xfId="1098"/>
    <cellStyle name="20% - Accent3 38 2" xfId="1099"/>
    <cellStyle name="20% - Accent3 38 3" xfId="1100"/>
    <cellStyle name="20% - Accent3 39" xfId="1101"/>
    <cellStyle name="20% - Accent3 39 2" xfId="1102"/>
    <cellStyle name="20% - Accent3 39 3" xfId="1103"/>
    <cellStyle name="20% - Accent3 4" xfId="1104"/>
    <cellStyle name="20% - Accent3 4 2" xfId="1105"/>
    <cellStyle name="20% - Accent3 4 3" xfId="1106"/>
    <cellStyle name="20% - Accent3 40" xfId="1107"/>
    <cellStyle name="20% - Accent3 40 2" xfId="1108"/>
    <cellStyle name="20% - Accent3 40 3" xfId="1109"/>
    <cellStyle name="20% - Accent3 41" xfId="1110"/>
    <cellStyle name="20% - Accent3 41 2" xfId="1111"/>
    <cellStyle name="20% - Accent3 41 3" xfId="1112"/>
    <cellStyle name="20% - Accent3 42" xfId="1113"/>
    <cellStyle name="20% - Accent3 42 2" xfId="1114"/>
    <cellStyle name="20% - Accent3 42 3" xfId="1115"/>
    <cellStyle name="20% - Accent3 43" xfId="1116"/>
    <cellStyle name="20% - Accent3 43 2" xfId="1117"/>
    <cellStyle name="20% - Accent3 43 3" xfId="1118"/>
    <cellStyle name="20% - Accent3 44" xfId="1119"/>
    <cellStyle name="20% - Accent3 44 2" xfId="1120"/>
    <cellStyle name="20% - Accent3 44 3" xfId="1121"/>
    <cellStyle name="20% - Accent3 45" xfId="1122"/>
    <cellStyle name="20% - Accent3 45 2" xfId="1123"/>
    <cellStyle name="20% - Accent3 45 3" xfId="1124"/>
    <cellStyle name="20% - Accent3 46" xfId="1125"/>
    <cellStyle name="20% - Accent3 46 2" xfId="1126"/>
    <cellStyle name="20% - Accent3 46 3" xfId="1127"/>
    <cellStyle name="20% - Accent3 47" xfId="1128"/>
    <cellStyle name="20% - Accent3 47 2" xfId="1129"/>
    <cellStyle name="20% - Accent3 47 3" xfId="1130"/>
    <cellStyle name="20% - Accent3 48" xfId="1131"/>
    <cellStyle name="20% - Accent3 48 2" xfId="1132"/>
    <cellStyle name="20% - Accent3 48 3" xfId="1133"/>
    <cellStyle name="20% - Accent3 49" xfId="1134"/>
    <cellStyle name="20% - Accent3 49 2" xfId="1135"/>
    <cellStyle name="20% - Accent3 49 3" xfId="1136"/>
    <cellStyle name="20% - Accent3 5" xfId="1137"/>
    <cellStyle name="20% - Accent3 5 2" xfId="1138"/>
    <cellStyle name="20% - Accent3 5 3" xfId="1139"/>
    <cellStyle name="20% - Accent3 50" xfId="1140"/>
    <cellStyle name="20% - Accent3 50 2" xfId="1141"/>
    <cellStyle name="20% - Accent3 50 3" xfId="1142"/>
    <cellStyle name="20% - Accent3 51" xfId="1143"/>
    <cellStyle name="20% - Accent3 51 2" xfId="1144"/>
    <cellStyle name="20% - Accent3 51 3" xfId="1145"/>
    <cellStyle name="20% - Accent3 52" xfId="1146"/>
    <cellStyle name="20% - Accent3 52 2" xfId="1147"/>
    <cellStyle name="20% - Accent3 52 3" xfId="1148"/>
    <cellStyle name="20% - Accent3 53" xfId="1149"/>
    <cellStyle name="20% - Accent3 53 2" xfId="1150"/>
    <cellStyle name="20% - Accent3 53 3" xfId="1151"/>
    <cellStyle name="20% - Accent3 54" xfId="1152"/>
    <cellStyle name="20% - Accent3 54 2" xfId="1153"/>
    <cellStyle name="20% - Accent3 54 3" xfId="1154"/>
    <cellStyle name="20% - Accent3 55" xfId="1155"/>
    <cellStyle name="20% - Accent3 55 2" xfId="1156"/>
    <cellStyle name="20% - Accent3 55 3" xfId="1157"/>
    <cellStyle name="20% - Accent3 56" xfId="1158"/>
    <cellStyle name="20% - Accent3 56 2" xfId="1159"/>
    <cellStyle name="20% - Accent3 56 3" xfId="1160"/>
    <cellStyle name="20% - Accent3 57" xfId="1161"/>
    <cellStyle name="20% - Accent3 57 2" xfId="1162"/>
    <cellStyle name="20% - Accent3 57 3" xfId="1163"/>
    <cellStyle name="20% - Accent3 58" xfId="1164"/>
    <cellStyle name="20% - Accent3 58 2" xfId="1165"/>
    <cellStyle name="20% - Accent3 58 3" xfId="1166"/>
    <cellStyle name="20% - Accent3 59" xfId="1167"/>
    <cellStyle name="20% - Accent3 59 2" xfId="1168"/>
    <cellStyle name="20% - Accent3 59 3" xfId="1169"/>
    <cellStyle name="20% - Accent3 6" xfId="1170"/>
    <cellStyle name="20% - Accent3 6 2" xfId="1171"/>
    <cellStyle name="20% - Accent3 6 3" xfId="1172"/>
    <cellStyle name="20% - Accent3 60" xfId="1173"/>
    <cellStyle name="20% - Accent3 60 2" xfId="1174"/>
    <cellStyle name="20% - Accent3 60 3" xfId="1175"/>
    <cellStyle name="20% - Accent3 61" xfId="1176"/>
    <cellStyle name="20% - Accent3 61 2" xfId="1177"/>
    <cellStyle name="20% - Accent3 61 3" xfId="1178"/>
    <cellStyle name="20% - Accent3 62" xfId="1179"/>
    <cellStyle name="20% - Accent3 62 2" xfId="1180"/>
    <cellStyle name="20% - Accent3 62 3" xfId="1181"/>
    <cellStyle name="20% - Accent3 63" xfId="1182"/>
    <cellStyle name="20% - Accent3 63 2" xfId="1183"/>
    <cellStyle name="20% - Accent3 63 3" xfId="1184"/>
    <cellStyle name="20% - Accent3 64" xfId="1185"/>
    <cellStyle name="20% - Accent3 64 2" xfId="1186"/>
    <cellStyle name="20% - Accent3 64 3" xfId="1187"/>
    <cellStyle name="20% - Accent3 65" xfId="1188"/>
    <cellStyle name="20% - Accent3 65 2" xfId="1189"/>
    <cellStyle name="20% - Accent3 65 3" xfId="1190"/>
    <cellStyle name="20% - Accent3 66" xfId="1191"/>
    <cellStyle name="20% - Accent3 66 2" xfId="1192"/>
    <cellStyle name="20% - Accent3 66 3" xfId="1193"/>
    <cellStyle name="20% - Accent3 67" xfId="1194"/>
    <cellStyle name="20% - Accent3 67 2" xfId="1195"/>
    <cellStyle name="20% - Accent3 67 3" xfId="1196"/>
    <cellStyle name="20% - Accent3 68" xfId="1197"/>
    <cellStyle name="20% - Accent3 68 2" xfId="1198"/>
    <cellStyle name="20% - Accent3 68 3" xfId="1199"/>
    <cellStyle name="20% - Accent3 69" xfId="1200"/>
    <cellStyle name="20% - Accent3 69 2" xfId="1201"/>
    <cellStyle name="20% - Accent3 69 3" xfId="1202"/>
    <cellStyle name="20% - Accent3 7" xfId="1203"/>
    <cellStyle name="20% - Accent3 7 2" xfId="1204"/>
    <cellStyle name="20% - Accent3 7 3" xfId="1205"/>
    <cellStyle name="20% - Accent3 70" xfId="1206"/>
    <cellStyle name="20% - Accent3 70 2" xfId="1207"/>
    <cellStyle name="20% - Accent3 70 3" xfId="1208"/>
    <cellStyle name="20% - Accent3 71" xfId="1209"/>
    <cellStyle name="20% - Accent3 71 2" xfId="1210"/>
    <cellStyle name="20% - Accent3 71 3" xfId="1211"/>
    <cellStyle name="20% - Accent3 72" xfId="1212"/>
    <cellStyle name="20% - Accent3 72 2" xfId="1213"/>
    <cellStyle name="20% - Accent3 73" xfId="1214"/>
    <cellStyle name="20% - Accent3 73 2" xfId="1215"/>
    <cellStyle name="20% - Accent3 74" xfId="1216"/>
    <cellStyle name="20% - Accent3 74 2" xfId="1217"/>
    <cellStyle name="20% - Accent3 75" xfId="1218"/>
    <cellStyle name="20% - Accent3 75 2" xfId="1219"/>
    <cellStyle name="20% - Accent3 76" xfId="1220"/>
    <cellStyle name="20% - Accent3 76 2" xfId="1221"/>
    <cellStyle name="20% - Accent3 77" xfId="1222"/>
    <cellStyle name="20% - Accent3 77 2" xfId="1223"/>
    <cellStyle name="20% - Accent3 78" xfId="1224"/>
    <cellStyle name="20% - Accent3 78 2" xfId="1225"/>
    <cellStyle name="20% - Accent3 79" xfId="1226"/>
    <cellStyle name="20% - Accent3 79 2" xfId="1227"/>
    <cellStyle name="20% - Accent3 8" xfId="1228"/>
    <cellStyle name="20% - Accent3 8 2" xfId="1229"/>
    <cellStyle name="20% - Accent3 8 3" xfId="1230"/>
    <cellStyle name="20% - Accent3 80" xfId="1231"/>
    <cellStyle name="20% - Accent3 80 2" xfId="1232"/>
    <cellStyle name="20% - Accent3 81" xfId="1233"/>
    <cellStyle name="20% - Accent3 81 2" xfId="1234"/>
    <cellStyle name="20% - Accent3 82" xfId="1235"/>
    <cellStyle name="20% - Accent3 82 2" xfId="1236"/>
    <cellStyle name="20% - Accent3 83" xfId="1237"/>
    <cellStyle name="20% - Accent3 83 2" xfId="1238"/>
    <cellStyle name="20% - Accent3 84" xfId="1239"/>
    <cellStyle name="20% - Accent3 84 2" xfId="1240"/>
    <cellStyle name="20% - Accent3 85" xfId="1241"/>
    <cellStyle name="20% - Accent3 85 2" xfId="1242"/>
    <cellStyle name="20% - Accent3 86" xfId="1243"/>
    <cellStyle name="20% - Accent3 86 2" xfId="1244"/>
    <cellStyle name="20% - Accent3 87" xfId="1245"/>
    <cellStyle name="20% - Accent3 87 2" xfId="1246"/>
    <cellStyle name="20% - Accent3 88" xfId="1247"/>
    <cellStyle name="20% - Accent3 88 2" xfId="1248"/>
    <cellStyle name="20% - Accent3 89" xfId="1249"/>
    <cellStyle name="20% - Accent3 89 2" xfId="1250"/>
    <cellStyle name="20% - Accent3 9" xfId="1251"/>
    <cellStyle name="20% - Accent3 9 2" xfId="1252"/>
    <cellStyle name="20% - Accent3 9 3" xfId="1253"/>
    <cellStyle name="20% - Accent3 90" xfId="1254"/>
    <cellStyle name="20% - Accent3 90 2" xfId="1255"/>
    <cellStyle name="20% - Accent3 91" xfId="1256"/>
    <cellStyle name="20% - Accent3 91 2" xfId="1257"/>
    <cellStyle name="20% - Accent3 92" xfId="1258"/>
    <cellStyle name="20% - Accent3 92 2" xfId="1259"/>
    <cellStyle name="20% - Accent3 93" xfId="1260"/>
    <cellStyle name="20% - Accent3 93 2" xfId="1261"/>
    <cellStyle name="20% - Accent3 94" xfId="1262"/>
    <cellStyle name="20% - Accent3 94 2" xfId="1263"/>
    <cellStyle name="20% - Accent3 95" xfId="1264"/>
    <cellStyle name="20% - Accent3 95 2" xfId="1265"/>
    <cellStyle name="20% - Accent3 96" xfId="1266"/>
    <cellStyle name="20% - Accent3 96 2" xfId="1267"/>
    <cellStyle name="20% - Accent3 97" xfId="1268"/>
    <cellStyle name="20% - Accent3 97 2" xfId="1269"/>
    <cellStyle name="20% - Accent3 98" xfId="1270"/>
    <cellStyle name="20% - Accent3 98 2" xfId="1271"/>
    <cellStyle name="20% - Accent3 99" xfId="1272"/>
    <cellStyle name="20% - Accent3 99 2" xfId="1273"/>
    <cellStyle name="20% - Accent4 10" xfId="1274"/>
    <cellStyle name="20% - Accent4 10 2" xfId="1275"/>
    <cellStyle name="20% - Accent4 10 3" xfId="1276"/>
    <cellStyle name="20% - Accent4 100" xfId="1277"/>
    <cellStyle name="20% - Accent4 100 2" xfId="1278"/>
    <cellStyle name="20% - Accent4 101" xfId="1279"/>
    <cellStyle name="20% - Accent4 101 2" xfId="1280"/>
    <cellStyle name="20% - Accent4 102" xfId="1281"/>
    <cellStyle name="20% - Accent4 102 2" xfId="1282"/>
    <cellStyle name="20% - Accent4 103" xfId="1283"/>
    <cellStyle name="20% - Accent4 103 2" xfId="1284"/>
    <cellStyle name="20% - Accent4 104" xfId="1285"/>
    <cellStyle name="20% - Accent4 104 2" xfId="1286"/>
    <cellStyle name="20% - Accent4 105" xfId="1287"/>
    <cellStyle name="20% - Accent4 105 2" xfId="1288"/>
    <cellStyle name="20% - Accent4 106" xfId="1289"/>
    <cellStyle name="20% - Accent4 106 2" xfId="1290"/>
    <cellStyle name="20% - Accent4 107" xfId="1291"/>
    <cellStyle name="20% - Accent4 107 2" xfId="1292"/>
    <cellStyle name="20% - Accent4 108" xfId="1293"/>
    <cellStyle name="20% - Accent4 108 2" xfId="1294"/>
    <cellStyle name="20% - Accent4 109" xfId="1295"/>
    <cellStyle name="20% - Accent4 109 2" xfId="1296"/>
    <cellStyle name="20% - Accent4 11" xfId="1297"/>
    <cellStyle name="20% - Accent4 11 2" xfId="1298"/>
    <cellStyle name="20% - Accent4 11 3" xfId="1299"/>
    <cellStyle name="20% - Accent4 110" xfId="1300"/>
    <cellStyle name="20% - Accent4 110 2" xfId="1301"/>
    <cellStyle name="20% - Accent4 111" xfId="1302"/>
    <cellStyle name="20% - Accent4 111 2" xfId="1303"/>
    <cellStyle name="20% - Accent4 112" xfId="1304"/>
    <cellStyle name="20% - Accent4 112 2" xfId="1305"/>
    <cellStyle name="20% - Accent4 113" xfId="1306"/>
    <cellStyle name="20% - Accent4 113 2" xfId="1307"/>
    <cellStyle name="20% - Accent4 114" xfId="1308"/>
    <cellStyle name="20% - Accent4 114 2" xfId="1309"/>
    <cellStyle name="20% - Accent4 115" xfId="1310"/>
    <cellStyle name="20% - Accent4 115 2" xfId="1311"/>
    <cellStyle name="20% - Accent4 116" xfId="1312"/>
    <cellStyle name="20% - Accent4 116 2" xfId="1313"/>
    <cellStyle name="20% - Accent4 117" xfId="1314"/>
    <cellStyle name="20% - Accent4 117 2" xfId="1315"/>
    <cellStyle name="20% - Accent4 118" xfId="1316"/>
    <cellStyle name="20% - Accent4 118 2" xfId="1317"/>
    <cellStyle name="20% - Accent4 119" xfId="1318"/>
    <cellStyle name="20% - Accent4 119 2" xfId="1319"/>
    <cellStyle name="20% - Accent4 12" xfId="1320"/>
    <cellStyle name="20% - Accent4 12 2" xfId="1321"/>
    <cellStyle name="20% - Accent4 12 3" xfId="1322"/>
    <cellStyle name="20% - Accent4 120" xfId="1323"/>
    <cellStyle name="20% - Accent4 120 2" xfId="1324"/>
    <cellStyle name="20% - Accent4 121" xfId="1325"/>
    <cellStyle name="20% - Accent4 121 2" xfId="1326"/>
    <cellStyle name="20% - Accent4 122" xfId="1327"/>
    <cellStyle name="20% - Accent4 122 2" xfId="1328"/>
    <cellStyle name="20% - Accent4 123" xfId="1329"/>
    <cellStyle name="20% - Accent4 123 2" xfId="1330"/>
    <cellStyle name="20% - Accent4 124" xfId="1331"/>
    <cellStyle name="20% - Accent4 124 2" xfId="1332"/>
    <cellStyle name="20% - Accent4 125" xfId="1333"/>
    <cellStyle name="20% - Accent4 125 2" xfId="1334"/>
    <cellStyle name="20% - Accent4 126" xfId="1335"/>
    <cellStyle name="20% - Accent4 126 2" xfId="1336"/>
    <cellStyle name="20% - Accent4 127" xfId="1337"/>
    <cellStyle name="20% - Accent4 127 2" xfId="1338"/>
    <cellStyle name="20% - Accent4 128" xfId="1339"/>
    <cellStyle name="20% - Accent4 128 2" xfId="1340"/>
    <cellStyle name="20% - Accent4 129" xfId="1341"/>
    <cellStyle name="20% - Accent4 129 2" xfId="1342"/>
    <cellStyle name="20% - Accent4 13" xfId="1343"/>
    <cellStyle name="20% - Accent4 13 2" xfId="1344"/>
    <cellStyle name="20% - Accent4 13 3" xfId="1345"/>
    <cellStyle name="20% - Accent4 130" xfId="1346"/>
    <cellStyle name="20% - Accent4 130 2" xfId="1347"/>
    <cellStyle name="20% - Accent4 131" xfId="1348"/>
    <cellStyle name="20% - Accent4 131 2" xfId="1349"/>
    <cellStyle name="20% - Accent4 132" xfId="1350"/>
    <cellStyle name="20% - Accent4 132 2" xfId="1351"/>
    <cellStyle name="20% - Accent4 133" xfId="1352"/>
    <cellStyle name="20% - Accent4 133 2" xfId="1353"/>
    <cellStyle name="20% - Accent4 134" xfId="1354"/>
    <cellStyle name="20% - Accent4 134 2" xfId="1355"/>
    <cellStyle name="20% - Accent4 135" xfId="1356"/>
    <cellStyle name="20% - Accent4 135 2" xfId="1357"/>
    <cellStyle name="20% - Accent4 136" xfId="1358"/>
    <cellStyle name="20% - Accent4 136 2" xfId="1359"/>
    <cellStyle name="20% - Accent4 137" xfId="1360"/>
    <cellStyle name="20% - Accent4 137 2" xfId="1361"/>
    <cellStyle name="20% - Accent4 138" xfId="1362"/>
    <cellStyle name="20% - Accent4 138 2" xfId="1363"/>
    <cellStyle name="20% - Accent4 139" xfId="1364"/>
    <cellStyle name="20% - Accent4 139 2" xfId="1365"/>
    <cellStyle name="20% - Accent4 14" xfId="1366"/>
    <cellStyle name="20% - Accent4 14 2" xfId="1367"/>
    <cellStyle name="20% - Accent4 14 3" xfId="1368"/>
    <cellStyle name="20% - Accent4 140" xfId="1369"/>
    <cellStyle name="20% - Accent4 140 2" xfId="1370"/>
    <cellStyle name="20% - Accent4 141" xfId="1371"/>
    <cellStyle name="20% - Accent4 141 2" xfId="1372"/>
    <cellStyle name="20% - Accent4 142" xfId="1373"/>
    <cellStyle name="20% - Accent4 142 2" xfId="1374"/>
    <cellStyle name="20% - Accent4 143" xfId="1375"/>
    <cellStyle name="20% - Accent4 143 2" xfId="1376"/>
    <cellStyle name="20% - Accent4 144" xfId="1377"/>
    <cellStyle name="20% - Accent4 144 2" xfId="1378"/>
    <cellStyle name="20% - Accent4 145" xfId="1379"/>
    <cellStyle name="20% - Accent4 145 2" xfId="1380"/>
    <cellStyle name="20% - Accent4 146" xfId="1381"/>
    <cellStyle name="20% - Accent4 146 2" xfId="1382"/>
    <cellStyle name="20% - Accent4 147" xfId="1383"/>
    <cellStyle name="20% - Accent4 147 2" xfId="1384"/>
    <cellStyle name="20% - Accent4 148" xfId="1385"/>
    <cellStyle name="20% - Accent4 148 2" xfId="1386"/>
    <cellStyle name="20% - Accent4 149" xfId="1387"/>
    <cellStyle name="20% - Accent4 149 2" xfId="1388"/>
    <cellStyle name="20% - Accent4 15" xfId="1389"/>
    <cellStyle name="20% - Accent4 15 2" xfId="1390"/>
    <cellStyle name="20% - Accent4 15 3" xfId="1391"/>
    <cellStyle name="20% - Accent4 150" xfId="1392"/>
    <cellStyle name="20% - Accent4 150 2" xfId="1393"/>
    <cellStyle name="20% - Accent4 151" xfId="1394"/>
    <cellStyle name="20% - Accent4 151 2" xfId="1395"/>
    <cellStyle name="20% - Accent4 152" xfId="1396"/>
    <cellStyle name="20% - Accent4 152 2" xfId="1397"/>
    <cellStyle name="20% - Accent4 153" xfId="1398"/>
    <cellStyle name="20% - Accent4 153 2" xfId="1399"/>
    <cellStyle name="20% - Accent4 154" xfId="1400"/>
    <cellStyle name="20% - Accent4 154 2" xfId="1401"/>
    <cellStyle name="20% - Accent4 155" xfId="1402"/>
    <cellStyle name="20% - Accent4 155 2" xfId="1403"/>
    <cellStyle name="20% - Accent4 156" xfId="1404"/>
    <cellStyle name="20% - Accent4 156 2" xfId="1405"/>
    <cellStyle name="20% - Accent4 157" xfId="1406"/>
    <cellStyle name="20% - Accent4 157 2" xfId="1407"/>
    <cellStyle name="20% - Accent4 158" xfId="1408"/>
    <cellStyle name="20% - Accent4 158 2" xfId="1409"/>
    <cellStyle name="20% - Accent4 159" xfId="1410"/>
    <cellStyle name="20% - Accent4 159 2" xfId="1411"/>
    <cellStyle name="20% - Accent4 16" xfId="1412"/>
    <cellStyle name="20% - Accent4 16 2" xfId="1413"/>
    <cellStyle name="20% - Accent4 16 3" xfId="1414"/>
    <cellStyle name="20% - Accent4 160" xfId="1415"/>
    <cellStyle name="20% - Accent4 160 2" xfId="1416"/>
    <cellStyle name="20% - Accent4 161" xfId="1417"/>
    <cellStyle name="20% - Accent4 161 2" xfId="1418"/>
    <cellStyle name="20% - Accent4 162" xfId="1419"/>
    <cellStyle name="20% - Accent4 162 2" xfId="1420"/>
    <cellStyle name="20% - Accent4 163" xfId="1421"/>
    <cellStyle name="20% - Accent4 163 2" xfId="1422"/>
    <cellStyle name="20% - Accent4 164" xfId="1423"/>
    <cellStyle name="20% - Accent4 164 2" xfId="1424"/>
    <cellStyle name="20% - Accent4 165" xfId="1425"/>
    <cellStyle name="20% - Accent4 165 2" xfId="1426"/>
    <cellStyle name="20% - Accent4 166" xfId="1427"/>
    <cellStyle name="20% - Accent4 166 2" xfId="1428"/>
    <cellStyle name="20% - Accent4 167" xfId="1429"/>
    <cellStyle name="20% - Accent4 167 2" xfId="1430"/>
    <cellStyle name="20% - Accent4 168" xfId="1431"/>
    <cellStyle name="20% - Accent4 168 2" xfId="1432"/>
    <cellStyle name="20% - Accent4 169" xfId="1433"/>
    <cellStyle name="20% - Accent4 169 2" xfId="1434"/>
    <cellStyle name="20% - Accent4 17" xfId="1435"/>
    <cellStyle name="20% - Accent4 17 2" xfId="1436"/>
    <cellStyle name="20% - Accent4 17 3" xfId="1437"/>
    <cellStyle name="20% - Accent4 170" xfId="1438"/>
    <cellStyle name="20% - Accent4 170 2" xfId="1439"/>
    <cellStyle name="20% - Accent4 171" xfId="1440"/>
    <cellStyle name="20% - Accent4 171 2" xfId="1441"/>
    <cellStyle name="20% - Accent4 172" xfId="1442"/>
    <cellStyle name="20% - Accent4 172 2" xfId="1443"/>
    <cellStyle name="20% - Accent4 173" xfId="1444"/>
    <cellStyle name="20% - Accent4 173 2" xfId="1445"/>
    <cellStyle name="20% - Accent4 174" xfId="1446"/>
    <cellStyle name="20% - Accent4 174 2" xfId="1447"/>
    <cellStyle name="20% - Accent4 175" xfId="1448"/>
    <cellStyle name="20% - Accent4 175 2" xfId="1449"/>
    <cellStyle name="20% - Accent4 176" xfId="1450"/>
    <cellStyle name="20% - Accent4 176 2" xfId="1451"/>
    <cellStyle name="20% - Accent4 177" xfId="1452"/>
    <cellStyle name="20% - Accent4 177 2" xfId="1453"/>
    <cellStyle name="20% - Accent4 18" xfId="1454"/>
    <cellStyle name="20% - Accent4 18 2" xfId="1455"/>
    <cellStyle name="20% - Accent4 18 3" xfId="1456"/>
    <cellStyle name="20% - Accent4 19" xfId="1457"/>
    <cellStyle name="20% - Accent4 19 2" xfId="1458"/>
    <cellStyle name="20% - Accent4 19 3" xfId="1459"/>
    <cellStyle name="20% - Accent4 2" xfId="1460"/>
    <cellStyle name="20% - Accent4 2 2" xfId="1461"/>
    <cellStyle name="20% - Accent4 2 3" xfId="1462"/>
    <cellStyle name="20% - Accent4 2 4" xfId="1463"/>
    <cellStyle name="20% - Accent4 20" xfId="1464"/>
    <cellStyle name="20% - Accent4 20 2" xfId="1465"/>
    <cellStyle name="20% - Accent4 20 3" xfId="1466"/>
    <cellStyle name="20% - Accent4 21" xfId="1467"/>
    <cellStyle name="20% - Accent4 21 2" xfId="1468"/>
    <cellStyle name="20% - Accent4 21 3" xfId="1469"/>
    <cellStyle name="20% - Accent4 22" xfId="1470"/>
    <cellStyle name="20% - Accent4 22 2" xfId="1471"/>
    <cellStyle name="20% - Accent4 22 3" xfId="1472"/>
    <cellStyle name="20% - Accent4 23" xfId="1473"/>
    <cellStyle name="20% - Accent4 23 2" xfId="1474"/>
    <cellStyle name="20% - Accent4 23 3" xfId="1475"/>
    <cellStyle name="20% - Accent4 24" xfId="1476"/>
    <cellStyle name="20% - Accent4 24 2" xfId="1477"/>
    <cellStyle name="20% - Accent4 24 3" xfId="1478"/>
    <cellStyle name="20% - Accent4 25" xfId="1479"/>
    <cellStyle name="20% - Accent4 25 2" xfId="1480"/>
    <cellStyle name="20% - Accent4 25 3" xfId="1481"/>
    <cellStyle name="20% - Accent4 26" xfId="1482"/>
    <cellStyle name="20% - Accent4 26 2" xfId="1483"/>
    <cellStyle name="20% - Accent4 26 3" xfId="1484"/>
    <cellStyle name="20% - Accent4 27" xfId="1485"/>
    <cellStyle name="20% - Accent4 27 2" xfId="1486"/>
    <cellStyle name="20% - Accent4 27 3" xfId="1487"/>
    <cellStyle name="20% - Accent4 28" xfId="1488"/>
    <cellStyle name="20% - Accent4 28 2" xfId="1489"/>
    <cellStyle name="20% - Accent4 28 3" xfId="1490"/>
    <cellStyle name="20% - Accent4 29" xfId="1491"/>
    <cellStyle name="20% - Accent4 29 2" xfId="1492"/>
    <cellStyle name="20% - Accent4 29 3" xfId="1493"/>
    <cellStyle name="20% - Accent4 3" xfId="1494"/>
    <cellStyle name="20% - Accent4 3 2" xfId="1495"/>
    <cellStyle name="20% - Accent4 3 3" xfId="1496"/>
    <cellStyle name="20% - Accent4 30" xfId="1497"/>
    <cellStyle name="20% - Accent4 30 2" xfId="1498"/>
    <cellStyle name="20% - Accent4 30 3" xfId="1499"/>
    <cellStyle name="20% - Accent4 31" xfId="1500"/>
    <cellStyle name="20% - Accent4 31 2" xfId="1501"/>
    <cellStyle name="20% - Accent4 31 3" xfId="1502"/>
    <cellStyle name="20% - Accent4 32" xfId="1503"/>
    <cellStyle name="20% - Accent4 32 2" xfId="1504"/>
    <cellStyle name="20% - Accent4 32 3" xfId="1505"/>
    <cellStyle name="20% - Accent4 33" xfId="1506"/>
    <cellStyle name="20% - Accent4 33 2" xfId="1507"/>
    <cellStyle name="20% - Accent4 33 3" xfId="1508"/>
    <cellStyle name="20% - Accent4 34" xfId="1509"/>
    <cellStyle name="20% - Accent4 34 2" xfId="1510"/>
    <cellStyle name="20% - Accent4 34 3" xfId="1511"/>
    <cellStyle name="20% - Accent4 35" xfId="1512"/>
    <cellStyle name="20% - Accent4 35 2" xfId="1513"/>
    <cellStyle name="20% - Accent4 35 3" xfId="1514"/>
    <cellStyle name="20% - Accent4 36" xfId="1515"/>
    <cellStyle name="20% - Accent4 36 2" xfId="1516"/>
    <cellStyle name="20% - Accent4 36 3" xfId="1517"/>
    <cellStyle name="20% - Accent4 37" xfId="1518"/>
    <cellStyle name="20% - Accent4 37 2" xfId="1519"/>
    <cellStyle name="20% - Accent4 37 3" xfId="1520"/>
    <cellStyle name="20% - Accent4 38" xfId="1521"/>
    <cellStyle name="20% - Accent4 38 2" xfId="1522"/>
    <cellStyle name="20% - Accent4 38 3" xfId="1523"/>
    <cellStyle name="20% - Accent4 39" xfId="1524"/>
    <cellStyle name="20% - Accent4 39 2" xfId="1525"/>
    <cellStyle name="20% - Accent4 39 3" xfId="1526"/>
    <cellStyle name="20% - Accent4 4" xfId="1527"/>
    <cellStyle name="20% - Accent4 4 2" xfId="1528"/>
    <cellStyle name="20% - Accent4 4 3" xfId="1529"/>
    <cellStyle name="20% - Accent4 40" xfId="1530"/>
    <cellStyle name="20% - Accent4 40 2" xfId="1531"/>
    <cellStyle name="20% - Accent4 40 3" xfId="1532"/>
    <cellStyle name="20% - Accent4 41" xfId="1533"/>
    <cellStyle name="20% - Accent4 41 2" xfId="1534"/>
    <cellStyle name="20% - Accent4 41 3" xfId="1535"/>
    <cellStyle name="20% - Accent4 42" xfId="1536"/>
    <cellStyle name="20% - Accent4 42 2" xfId="1537"/>
    <cellStyle name="20% - Accent4 42 3" xfId="1538"/>
    <cellStyle name="20% - Accent4 43" xfId="1539"/>
    <cellStyle name="20% - Accent4 43 2" xfId="1540"/>
    <cellStyle name="20% - Accent4 43 3" xfId="1541"/>
    <cellStyle name="20% - Accent4 44" xfId="1542"/>
    <cellStyle name="20% - Accent4 44 2" xfId="1543"/>
    <cellStyle name="20% - Accent4 44 3" xfId="1544"/>
    <cellStyle name="20% - Accent4 45" xfId="1545"/>
    <cellStyle name="20% - Accent4 45 2" xfId="1546"/>
    <cellStyle name="20% - Accent4 45 3" xfId="1547"/>
    <cellStyle name="20% - Accent4 46" xfId="1548"/>
    <cellStyle name="20% - Accent4 46 2" xfId="1549"/>
    <cellStyle name="20% - Accent4 46 3" xfId="1550"/>
    <cellStyle name="20% - Accent4 47" xfId="1551"/>
    <cellStyle name="20% - Accent4 47 2" xfId="1552"/>
    <cellStyle name="20% - Accent4 47 3" xfId="1553"/>
    <cellStyle name="20% - Accent4 48" xfId="1554"/>
    <cellStyle name="20% - Accent4 48 2" xfId="1555"/>
    <cellStyle name="20% - Accent4 48 3" xfId="1556"/>
    <cellStyle name="20% - Accent4 49" xfId="1557"/>
    <cellStyle name="20% - Accent4 49 2" xfId="1558"/>
    <cellStyle name="20% - Accent4 49 3" xfId="1559"/>
    <cellStyle name="20% - Accent4 5" xfId="1560"/>
    <cellStyle name="20% - Accent4 5 2" xfId="1561"/>
    <cellStyle name="20% - Accent4 5 3" xfId="1562"/>
    <cellStyle name="20% - Accent4 50" xfId="1563"/>
    <cellStyle name="20% - Accent4 50 2" xfId="1564"/>
    <cellStyle name="20% - Accent4 50 3" xfId="1565"/>
    <cellStyle name="20% - Accent4 51" xfId="1566"/>
    <cellStyle name="20% - Accent4 51 2" xfId="1567"/>
    <cellStyle name="20% - Accent4 51 3" xfId="1568"/>
    <cellStyle name="20% - Accent4 52" xfId="1569"/>
    <cellStyle name="20% - Accent4 52 2" xfId="1570"/>
    <cellStyle name="20% - Accent4 52 3" xfId="1571"/>
    <cellStyle name="20% - Accent4 53" xfId="1572"/>
    <cellStyle name="20% - Accent4 53 2" xfId="1573"/>
    <cellStyle name="20% - Accent4 53 3" xfId="1574"/>
    <cellStyle name="20% - Accent4 54" xfId="1575"/>
    <cellStyle name="20% - Accent4 54 2" xfId="1576"/>
    <cellStyle name="20% - Accent4 54 3" xfId="1577"/>
    <cellStyle name="20% - Accent4 55" xfId="1578"/>
    <cellStyle name="20% - Accent4 55 2" xfId="1579"/>
    <cellStyle name="20% - Accent4 55 3" xfId="1580"/>
    <cellStyle name="20% - Accent4 56" xfId="1581"/>
    <cellStyle name="20% - Accent4 56 2" xfId="1582"/>
    <cellStyle name="20% - Accent4 56 3" xfId="1583"/>
    <cellStyle name="20% - Accent4 57" xfId="1584"/>
    <cellStyle name="20% - Accent4 57 2" xfId="1585"/>
    <cellStyle name="20% - Accent4 57 3" xfId="1586"/>
    <cellStyle name="20% - Accent4 58" xfId="1587"/>
    <cellStyle name="20% - Accent4 58 2" xfId="1588"/>
    <cellStyle name="20% - Accent4 58 3" xfId="1589"/>
    <cellStyle name="20% - Accent4 59" xfId="1590"/>
    <cellStyle name="20% - Accent4 59 2" xfId="1591"/>
    <cellStyle name="20% - Accent4 59 3" xfId="1592"/>
    <cellStyle name="20% - Accent4 6" xfId="1593"/>
    <cellStyle name="20% - Accent4 6 2" xfId="1594"/>
    <cellStyle name="20% - Accent4 6 3" xfId="1595"/>
    <cellStyle name="20% - Accent4 60" xfId="1596"/>
    <cellStyle name="20% - Accent4 60 2" xfId="1597"/>
    <cellStyle name="20% - Accent4 60 3" xfId="1598"/>
    <cellStyle name="20% - Accent4 61" xfId="1599"/>
    <cellStyle name="20% - Accent4 61 2" xfId="1600"/>
    <cellStyle name="20% - Accent4 61 3" xfId="1601"/>
    <cellStyle name="20% - Accent4 62" xfId="1602"/>
    <cellStyle name="20% - Accent4 62 2" xfId="1603"/>
    <cellStyle name="20% - Accent4 62 3" xfId="1604"/>
    <cellStyle name="20% - Accent4 63" xfId="1605"/>
    <cellStyle name="20% - Accent4 63 2" xfId="1606"/>
    <cellStyle name="20% - Accent4 63 3" xfId="1607"/>
    <cellStyle name="20% - Accent4 64" xfId="1608"/>
    <cellStyle name="20% - Accent4 64 2" xfId="1609"/>
    <cellStyle name="20% - Accent4 64 3" xfId="1610"/>
    <cellStyle name="20% - Accent4 65" xfId="1611"/>
    <cellStyle name="20% - Accent4 65 2" xfId="1612"/>
    <cellStyle name="20% - Accent4 65 3" xfId="1613"/>
    <cellStyle name="20% - Accent4 66" xfId="1614"/>
    <cellStyle name="20% - Accent4 66 2" xfId="1615"/>
    <cellStyle name="20% - Accent4 66 3" xfId="1616"/>
    <cellStyle name="20% - Accent4 67" xfId="1617"/>
    <cellStyle name="20% - Accent4 67 2" xfId="1618"/>
    <cellStyle name="20% - Accent4 67 3" xfId="1619"/>
    <cellStyle name="20% - Accent4 68" xfId="1620"/>
    <cellStyle name="20% - Accent4 68 2" xfId="1621"/>
    <cellStyle name="20% - Accent4 68 3" xfId="1622"/>
    <cellStyle name="20% - Accent4 69" xfId="1623"/>
    <cellStyle name="20% - Accent4 69 2" xfId="1624"/>
    <cellStyle name="20% - Accent4 69 3" xfId="1625"/>
    <cellStyle name="20% - Accent4 7" xfId="1626"/>
    <cellStyle name="20% - Accent4 7 2" xfId="1627"/>
    <cellStyle name="20% - Accent4 7 3" xfId="1628"/>
    <cellStyle name="20% - Accent4 70" xfId="1629"/>
    <cellStyle name="20% - Accent4 70 2" xfId="1630"/>
    <cellStyle name="20% - Accent4 70 3" xfId="1631"/>
    <cellStyle name="20% - Accent4 71" xfId="1632"/>
    <cellStyle name="20% - Accent4 71 2" xfId="1633"/>
    <cellStyle name="20% - Accent4 71 3" xfId="1634"/>
    <cellStyle name="20% - Accent4 72" xfId="1635"/>
    <cellStyle name="20% - Accent4 72 2" xfId="1636"/>
    <cellStyle name="20% - Accent4 73" xfId="1637"/>
    <cellStyle name="20% - Accent4 73 2" xfId="1638"/>
    <cellStyle name="20% - Accent4 74" xfId="1639"/>
    <cellStyle name="20% - Accent4 74 2" xfId="1640"/>
    <cellStyle name="20% - Accent4 75" xfId="1641"/>
    <cellStyle name="20% - Accent4 75 2" xfId="1642"/>
    <cellStyle name="20% - Accent4 76" xfId="1643"/>
    <cellStyle name="20% - Accent4 76 2" xfId="1644"/>
    <cellStyle name="20% - Accent4 77" xfId="1645"/>
    <cellStyle name="20% - Accent4 77 2" xfId="1646"/>
    <cellStyle name="20% - Accent4 78" xfId="1647"/>
    <cellStyle name="20% - Accent4 78 2" xfId="1648"/>
    <cellStyle name="20% - Accent4 79" xfId="1649"/>
    <cellStyle name="20% - Accent4 79 2" xfId="1650"/>
    <cellStyle name="20% - Accent4 8" xfId="1651"/>
    <cellStyle name="20% - Accent4 8 2" xfId="1652"/>
    <cellStyle name="20% - Accent4 8 3" xfId="1653"/>
    <cellStyle name="20% - Accent4 80" xfId="1654"/>
    <cellStyle name="20% - Accent4 80 2" xfId="1655"/>
    <cellStyle name="20% - Accent4 81" xfId="1656"/>
    <cellStyle name="20% - Accent4 81 2" xfId="1657"/>
    <cellStyle name="20% - Accent4 82" xfId="1658"/>
    <cellStyle name="20% - Accent4 82 2" xfId="1659"/>
    <cellStyle name="20% - Accent4 83" xfId="1660"/>
    <cellStyle name="20% - Accent4 83 2" xfId="1661"/>
    <cellStyle name="20% - Accent4 84" xfId="1662"/>
    <cellStyle name="20% - Accent4 84 2" xfId="1663"/>
    <cellStyle name="20% - Accent4 85" xfId="1664"/>
    <cellStyle name="20% - Accent4 85 2" xfId="1665"/>
    <cellStyle name="20% - Accent4 86" xfId="1666"/>
    <cellStyle name="20% - Accent4 86 2" xfId="1667"/>
    <cellStyle name="20% - Accent4 87" xfId="1668"/>
    <cellStyle name="20% - Accent4 87 2" xfId="1669"/>
    <cellStyle name="20% - Accent4 88" xfId="1670"/>
    <cellStyle name="20% - Accent4 88 2" xfId="1671"/>
    <cellStyle name="20% - Accent4 89" xfId="1672"/>
    <cellStyle name="20% - Accent4 89 2" xfId="1673"/>
    <cellStyle name="20% - Accent4 9" xfId="1674"/>
    <cellStyle name="20% - Accent4 9 2" xfId="1675"/>
    <cellStyle name="20% - Accent4 9 3" xfId="1676"/>
    <cellStyle name="20% - Accent4 90" xfId="1677"/>
    <cellStyle name="20% - Accent4 90 2" xfId="1678"/>
    <cellStyle name="20% - Accent4 91" xfId="1679"/>
    <cellStyle name="20% - Accent4 91 2" xfId="1680"/>
    <cellStyle name="20% - Accent4 92" xfId="1681"/>
    <cellStyle name="20% - Accent4 92 2" xfId="1682"/>
    <cellStyle name="20% - Accent4 93" xfId="1683"/>
    <cellStyle name="20% - Accent4 93 2" xfId="1684"/>
    <cellStyle name="20% - Accent4 94" xfId="1685"/>
    <cellStyle name="20% - Accent4 94 2" xfId="1686"/>
    <cellStyle name="20% - Accent4 95" xfId="1687"/>
    <cellStyle name="20% - Accent4 95 2" xfId="1688"/>
    <cellStyle name="20% - Accent4 96" xfId="1689"/>
    <cellStyle name="20% - Accent4 96 2" xfId="1690"/>
    <cellStyle name="20% - Accent4 97" xfId="1691"/>
    <cellStyle name="20% - Accent4 97 2" xfId="1692"/>
    <cellStyle name="20% - Accent4 98" xfId="1693"/>
    <cellStyle name="20% - Accent4 98 2" xfId="1694"/>
    <cellStyle name="20% - Accent4 99" xfId="1695"/>
    <cellStyle name="20% - Accent4 99 2" xfId="1696"/>
    <cellStyle name="20% - Accent5 10" xfId="1697"/>
    <cellStyle name="20% - Accent5 10 2" xfId="1698"/>
    <cellStyle name="20% - Accent5 10 3" xfId="1699"/>
    <cellStyle name="20% - Accent5 11" xfId="1700"/>
    <cellStyle name="20% - Accent5 11 2" xfId="1701"/>
    <cellStyle name="20% - Accent5 11 3" xfId="1702"/>
    <cellStyle name="20% - Accent5 12" xfId="1703"/>
    <cellStyle name="20% - Accent5 12 2" xfId="1704"/>
    <cellStyle name="20% - Accent5 12 3" xfId="1705"/>
    <cellStyle name="20% - Accent5 13" xfId="1706"/>
    <cellStyle name="20% - Accent5 13 2" xfId="1707"/>
    <cellStyle name="20% - Accent5 13 3" xfId="1708"/>
    <cellStyle name="20% - Accent5 14" xfId="1709"/>
    <cellStyle name="20% - Accent5 14 2" xfId="1710"/>
    <cellStyle name="20% - Accent5 14 3" xfId="1711"/>
    <cellStyle name="20% - Accent5 15" xfId="1712"/>
    <cellStyle name="20% - Accent5 15 2" xfId="1713"/>
    <cellStyle name="20% - Accent5 15 3" xfId="1714"/>
    <cellStyle name="20% - Accent5 16" xfId="1715"/>
    <cellStyle name="20% - Accent5 16 2" xfId="1716"/>
    <cellStyle name="20% - Accent5 16 3" xfId="1717"/>
    <cellStyle name="20% - Accent5 17" xfId="1718"/>
    <cellStyle name="20% - Accent5 17 2" xfId="1719"/>
    <cellStyle name="20% - Accent5 17 3" xfId="1720"/>
    <cellStyle name="20% - Accent5 18" xfId="1721"/>
    <cellStyle name="20% - Accent5 18 2" xfId="1722"/>
    <cellStyle name="20% - Accent5 18 3" xfId="1723"/>
    <cellStyle name="20% - Accent5 19" xfId="1724"/>
    <cellStyle name="20% - Accent5 19 2" xfId="1725"/>
    <cellStyle name="20% - Accent5 19 3" xfId="1726"/>
    <cellStyle name="20% - Accent5 2" xfId="1727"/>
    <cellStyle name="20% - Accent5 2 2" xfId="1728"/>
    <cellStyle name="20% - Accent5 2 3" xfId="1729"/>
    <cellStyle name="20% - Accent5 2 4" xfId="1730"/>
    <cellStyle name="20% - Accent5 20" xfId="1731"/>
    <cellStyle name="20% - Accent5 20 2" xfId="1732"/>
    <cellStyle name="20% - Accent5 20 3" xfId="1733"/>
    <cellStyle name="20% - Accent5 21" xfId="1734"/>
    <cellStyle name="20% - Accent5 21 2" xfId="1735"/>
    <cellStyle name="20% - Accent5 21 3" xfId="1736"/>
    <cellStyle name="20% - Accent5 22" xfId="1737"/>
    <cellStyle name="20% - Accent5 22 2" xfId="1738"/>
    <cellStyle name="20% - Accent5 22 3" xfId="1739"/>
    <cellStyle name="20% - Accent5 23" xfId="1740"/>
    <cellStyle name="20% - Accent5 23 2" xfId="1741"/>
    <cellStyle name="20% - Accent5 23 3" xfId="1742"/>
    <cellStyle name="20% - Accent5 24" xfId="1743"/>
    <cellStyle name="20% - Accent5 24 2" xfId="1744"/>
    <cellStyle name="20% - Accent5 24 3" xfId="1745"/>
    <cellStyle name="20% - Accent5 25" xfId="1746"/>
    <cellStyle name="20% - Accent5 25 2" xfId="1747"/>
    <cellStyle name="20% - Accent5 25 3" xfId="1748"/>
    <cellStyle name="20% - Accent5 26" xfId="1749"/>
    <cellStyle name="20% - Accent5 26 2" xfId="1750"/>
    <cellStyle name="20% - Accent5 26 3" xfId="1751"/>
    <cellStyle name="20% - Accent5 27" xfId="1752"/>
    <cellStyle name="20% - Accent5 27 2" xfId="1753"/>
    <cellStyle name="20% - Accent5 27 3" xfId="1754"/>
    <cellStyle name="20% - Accent5 28" xfId="1755"/>
    <cellStyle name="20% - Accent5 28 2" xfId="1756"/>
    <cellStyle name="20% - Accent5 28 3" xfId="1757"/>
    <cellStyle name="20% - Accent5 29" xfId="1758"/>
    <cellStyle name="20% - Accent5 29 2" xfId="1759"/>
    <cellStyle name="20% - Accent5 29 3" xfId="1760"/>
    <cellStyle name="20% - Accent5 3" xfId="1761"/>
    <cellStyle name="20% - Accent5 3 2" xfId="1762"/>
    <cellStyle name="20% - Accent5 3 3" xfId="1763"/>
    <cellStyle name="20% - Accent5 30" xfId="1764"/>
    <cellStyle name="20% - Accent5 30 2" xfId="1765"/>
    <cellStyle name="20% - Accent5 30 3" xfId="1766"/>
    <cellStyle name="20% - Accent5 31" xfId="1767"/>
    <cellStyle name="20% - Accent5 31 2" xfId="1768"/>
    <cellStyle name="20% - Accent5 31 3" xfId="1769"/>
    <cellStyle name="20% - Accent5 32" xfId="1770"/>
    <cellStyle name="20% - Accent5 32 2" xfId="1771"/>
    <cellStyle name="20% - Accent5 32 3" xfId="1772"/>
    <cellStyle name="20% - Accent5 33" xfId="1773"/>
    <cellStyle name="20% - Accent5 33 2" xfId="1774"/>
    <cellStyle name="20% - Accent5 33 3" xfId="1775"/>
    <cellStyle name="20% - Accent5 34" xfId="1776"/>
    <cellStyle name="20% - Accent5 34 2" xfId="1777"/>
    <cellStyle name="20% - Accent5 34 3" xfId="1778"/>
    <cellStyle name="20% - Accent5 35" xfId="1779"/>
    <cellStyle name="20% - Accent5 35 2" xfId="1780"/>
    <cellStyle name="20% - Accent5 35 3" xfId="1781"/>
    <cellStyle name="20% - Accent5 36" xfId="1782"/>
    <cellStyle name="20% - Accent5 36 2" xfId="1783"/>
    <cellStyle name="20% - Accent5 36 3" xfId="1784"/>
    <cellStyle name="20% - Accent5 37" xfId="1785"/>
    <cellStyle name="20% - Accent5 37 2" xfId="1786"/>
    <cellStyle name="20% - Accent5 37 3" xfId="1787"/>
    <cellStyle name="20% - Accent5 38" xfId="1788"/>
    <cellStyle name="20% - Accent5 38 2" xfId="1789"/>
    <cellStyle name="20% - Accent5 38 3" xfId="1790"/>
    <cellStyle name="20% - Accent5 39" xfId="1791"/>
    <cellStyle name="20% - Accent5 39 2" xfId="1792"/>
    <cellStyle name="20% - Accent5 39 3" xfId="1793"/>
    <cellStyle name="20% - Accent5 4" xfId="1794"/>
    <cellStyle name="20% - Accent5 4 2" xfId="1795"/>
    <cellStyle name="20% - Accent5 4 3" xfId="1796"/>
    <cellStyle name="20% - Accent5 40" xfId="1797"/>
    <cellStyle name="20% - Accent5 40 2" xfId="1798"/>
    <cellStyle name="20% - Accent5 40 3" xfId="1799"/>
    <cellStyle name="20% - Accent5 41" xfId="1800"/>
    <cellStyle name="20% - Accent5 41 2" xfId="1801"/>
    <cellStyle name="20% - Accent5 41 3" xfId="1802"/>
    <cellStyle name="20% - Accent5 42" xfId="1803"/>
    <cellStyle name="20% - Accent5 42 2" xfId="1804"/>
    <cellStyle name="20% - Accent5 42 3" xfId="1805"/>
    <cellStyle name="20% - Accent5 43" xfId="1806"/>
    <cellStyle name="20% - Accent5 43 2" xfId="1807"/>
    <cellStyle name="20% - Accent5 43 3" xfId="1808"/>
    <cellStyle name="20% - Accent5 44" xfId="1809"/>
    <cellStyle name="20% - Accent5 44 2" xfId="1810"/>
    <cellStyle name="20% - Accent5 44 3" xfId="1811"/>
    <cellStyle name="20% - Accent5 45" xfId="1812"/>
    <cellStyle name="20% - Accent5 45 2" xfId="1813"/>
    <cellStyle name="20% - Accent5 45 3" xfId="1814"/>
    <cellStyle name="20% - Accent5 46" xfId="1815"/>
    <cellStyle name="20% - Accent5 46 2" xfId="1816"/>
    <cellStyle name="20% - Accent5 46 3" xfId="1817"/>
    <cellStyle name="20% - Accent5 47" xfId="1818"/>
    <cellStyle name="20% - Accent5 47 2" xfId="1819"/>
    <cellStyle name="20% - Accent5 47 3" xfId="1820"/>
    <cellStyle name="20% - Accent5 48" xfId="1821"/>
    <cellStyle name="20% - Accent5 48 2" xfId="1822"/>
    <cellStyle name="20% - Accent5 48 3" xfId="1823"/>
    <cellStyle name="20% - Accent5 49" xfId="1824"/>
    <cellStyle name="20% - Accent5 49 2" xfId="1825"/>
    <cellStyle name="20% - Accent5 49 3" xfId="1826"/>
    <cellStyle name="20% - Accent5 5" xfId="1827"/>
    <cellStyle name="20% - Accent5 5 2" xfId="1828"/>
    <cellStyle name="20% - Accent5 5 3" xfId="1829"/>
    <cellStyle name="20% - Accent5 50" xfId="1830"/>
    <cellStyle name="20% - Accent5 50 2" xfId="1831"/>
    <cellStyle name="20% - Accent5 50 3" xfId="1832"/>
    <cellStyle name="20% - Accent5 51" xfId="1833"/>
    <cellStyle name="20% - Accent5 51 2" xfId="1834"/>
    <cellStyle name="20% - Accent5 51 3" xfId="1835"/>
    <cellStyle name="20% - Accent5 52" xfId="1836"/>
    <cellStyle name="20% - Accent5 52 2" xfId="1837"/>
    <cellStyle name="20% - Accent5 52 3" xfId="1838"/>
    <cellStyle name="20% - Accent5 53" xfId="1839"/>
    <cellStyle name="20% - Accent5 53 2" xfId="1840"/>
    <cellStyle name="20% - Accent5 53 3" xfId="1841"/>
    <cellStyle name="20% - Accent5 54" xfId="1842"/>
    <cellStyle name="20% - Accent5 54 2" xfId="1843"/>
    <cellStyle name="20% - Accent5 54 3" xfId="1844"/>
    <cellStyle name="20% - Accent5 55" xfId="1845"/>
    <cellStyle name="20% - Accent5 55 2" xfId="1846"/>
    <cellStyle name="20% - Accent5 55 3" xfId="1847"/>
    <cellStyle name="20% - Accent5 56" xfId="1848"/>
    <cellStyle name="20% - Accent5 56 2" xfId="1849"/>
    <cellStyle name="20% - Accent5 56 3" xfId="1850"/>
    <cellStyle name="20% - Accent5 57" xfId="1851"/>
    <cellStyle name="20% - Accent5 57 2" xfId="1852"/>
    <cellStyle name="20% - Accent5 57 3" xfId="1853"/>
    <cellStyle name="20% - Accent5 58" xfId="1854"/>
    <cellStyle name="20% - Accent5 58 2" xfId="1855"/>
    <cellStyle name="20% - Accent5 58 3" xfId="1856"/>
    <cellStyle name="20% - Accent5 59" xfId="1857"/>
    <cellStyle name="20% - Accent5 59 2" xfId="1858"/>
    <cellStyle name="20% - Accent5 59 3" xfId="1859"/>
    <cellStyle name="20% - Accent5 6" xfId="1860"/>
    <cellStyle name="20% - Accent5 6 2" xfId="1861"/>
    <cellStyle name="20% - Accent5 6 3" xfId="1862"/>
    <cellStyle name="20% - Accent5 60" xfId="1863"/>
    <cellStyle name="20% - Accent5 60 2" xfId="1864"/>
    <cellStyle name="20% - Accent5 60 3" xfId="1865"/>
    <cellStyle name="20% - Accent5 61" xfId="1866"/>
    <cellStyle name="20% - Accent5 61 2" xfId="1867"/>
    <cellStyle name="20% - Accent5 61 3" xfId="1868"/>
    <cellStyle name="20% - Accent5 62" xfId="1869"/>
    <cellStyle name="20% - Accent5 63" xfId="1870"/>
    <cellStyle name="20% - Accent5 64" xfId="1871"/>
    <cellStyle name="20% - Accent5 65" xfId="1872"/>
    <cellStyle name="20% - Accent5 66" xfId="1873"/>
    <cellStyle name="20% - Accent5 67" xfId="1874"/>
    <cellStyle name="20% - Accent5 68" xfId="1875"/>
    <cellStyle name="20% - Accent5 69" xfId="1876"/>
    <cellStyle name="20% - Accent5 7" xfId="1877"/>
    <cellStyle name="20% - Accent5 7 2" xfId="1878"/>
    <cellStyle name="20% - Accent5 7 3" xfId="1879"/>
    <cellStyle name="20% - Accent5 70" xfId="1880"/>
    <cellStyle name="20% - Accent5 71" xfId="1881"/>
    <cellStyle name="20% - Accent5 8" xfId="1882"/>
    <cellStyle name="20% - Accent5 8 2" xfId="1883"/>
    <cellStyle name="20% - Accent5 8 3" xfId="1884"/>
    <cellStyle name="20% - Accent5 9" xfId="1885"/>
    <cellStyle name="20% - Accent5 9 2" xfId="1886"/>
    <cellStyle name="20% - Accent5 9 3" xfId="1887"/>
    <cellStyle name="20% - Accent6 10" xfId="1888"/>
    <cellStyle name="20% - Accent6 10 2" xfId="1889"/>
    <cellStyle name="20% - Accent6 10 3" xfId="1890"/>
    <cellStyle name="20% - Accent6 100" xfId="1891"/>
    <cellStyle name="20% - Accent6 100 2" xfId="1892"/>
    <cellStyle name="20% - Accent6 101" xfId="1893"/>
    <cellStyle name="20% - Accent6 101 2" xfId="1894"/>
    <cellStyle name="20% - Accent6 102" xfId="1895"/>
    <cellStyle name="20% - Accent6 102 2" xfId="1896"/>
    <cellStyle name="20% - Accent6 103" xfId="1897"/>
    <cellStyle name="20% - Accent6 103 2" xfId="1898"/>
    <cellStyle name="20% - Accent6 104" xfId="1899"/>
    <cellStyle name="20% - Accent6 104 2" xfId="1900"/>
    <cellStyle name="20% - Accent6 105" xfId="1901"/>
    <cellStyle name="20% - Accent6 105 2" xfId="1902"/>
    <cellStyle name="20% - Accent6 106" xfId="1903"/>
    <cellStyle name="20% - Accent6 106 2" xfId="1904"/>
    <cellStyle name="20% - Accent6 107" xfId="1905"/>
    <cellStyle name="20% - Accent6 107 2" xfId="1906"/>
    <cellStyle name="20% - Accent6 108" xfId="1907"/>
    <cellStyle name="20% - Accent6 108 2" xfId="1908"/>
    <cellStyle name="20% - Accent6 109" xfId="1909"/>
    <cellStyle name="20% - Accent6 109 2" xfId="1910"/>
    <cellStyle name="20% - Accent6 11" xfId="1911"/>
    <cellStyle name="20% - Accent6 11 2" xfId="1912"/>
    <cellStyle name="20% - Accent6 11 3" xfId="1913"/>
    <cellStyle name="20% - Accent6 110" xfId="1914"/>
    <cellStyle name="20% - Accent6 110 2" xfId="1915"/>
    <cellStyle name="20% - Accent6 111" xfId="1916"/>
    <cellStyle name="20% - Accent6 111 2" xfId="1917"/>
    <cellStyle name="20% - Accent6 112" xfId="1918"/>
    <cellStyle name="20% - Accent6 112 2" xfId="1919"/>
    <cellStyle name="20% - Accent6 113" xfId="1920"/>
    <cellStyle name="20% - Accent6 113 2" xfId="1921"/>
    <cellStyle name="20% - Accent6 114" xfId="1922"/>
    <cellStyle name="20% - Accent6 114 2" xfId="1923"/>
    <cellStyle name="20% - Accent6 115" xfId="1924"/>
    <cellStyle name="20% - Accent6 115 2" xfId="1925"/>
    <cellStyle name="20% - Accent6 116" xfId="1926"/>
    <cellStyle name="20% - Accent6 116 2" xfId="1927"/>
    <cellStyle name="20% - Accent6 117" xfId="1928"/>
    <cellStyle name="20% - Accent6 117 2" xfId="1929"/>
    <cellStyle name="20% - Accent6 118" xfId="1930"/>
    <cellStyle name="20% - Accent6 118 2" xfId="1931"/>
    <cellStyle name="20% - Accent6 119" xfId="1932"/>
    <cellStyle name="20% - Accent6 119 2" xfId="1933"/>
    <cellStyle name="20% - Accent6 12" xfId="1934"/>
    <cellStyle name="20% - Accent6 12 2" xfId="1935"/>
    <cellStyle name="20% - Accent6 12 3" xfId="1936"/>
    <cellStyle name="20% - Accent6 120" xfId="1937"/>
    <cellStyle name="20% - Accent6 120 2" xfId="1938"/>
    <cellStyle name="20% - Accent6 121" xfId="1939"/>
    <cellStyle name="20% - Accent6 121 2" xfId="1940"/>
    <cellStyle name="20% - Accent6 122" xfId="1941"/>
    <cellStyle name="20% - Accent6 122 2" xfId="1942"/>
    <cellStyle name="20% - Accent6 123" xfId="1943"/>
    <cellStyle name="20% - Accent6 123 2" xfId="1944"/>
    <cellStyle name="20% - Accent6 124" xfId="1945"/>
    <cellStyle name="20% - Accent6 124 2" xfId="1946"/>
    <cellStyle name="20% - Accent6 125" xfId="1947"/>
    <cellStyle name="20% - Accent6 125 2" xfId="1948"/>
    <cellStyle name="20% - Accent6 126" xfId="1949"/>
    <cellStyle name="20% - Accent6 126 2" xfId="1950"/>
    <cellStyle name="20% - Accent6 127" xfId="1951"/>
    <cellStyle name="20% - Accent6 127 2" xfId="1952"/>
    <cellStyle name="20% - Accent6 128" xfId="1953"/>
    <cellStyle name="20% - Accent6 128 2" xfId="1954"/>
    <cellStyle name="20% - Accent6 129" xfId="1955"/>
    <cellStyle name="20% - Accent6 129 2" xfId="1956"/>
    <cellStyle name="20% - Accent6 13" xfId="1957"/>
    <cellStyle name="20% - Accent6 13 2" xfId="1958"/>
    <cellStyle name="20% - Accent6 13 3" xfId="1959"/>
    <cellStyle name="20% - Accent6 130" xfId="1960"/>
    <cellStyle name="20% - Accent6 130 2" xfId="1961"/>
    <cellStyle name="20% - Accent6 131" xfId="1962"/>
    <cellStyle name="20% - Accent6 131 2" xfId="1963"/>
    <cellStyle name="20% - Accent6 132" xfId="1964"/>
    <cellStyle name="20% - Accent6 132 2" xfId="1965"/>
    <cellStyle name="20% - Accent6 133" xfId="1966"/>
    <cellStyle name="20% - Accent6 133 2" xfId="1967"/>
    <cellStyle name="20% - Accent6 134" xfId="1968"/>
    <cellStyle name="20% - Accent6 134 2" xfId="1969"/>
    <cellStyle name="20% - Accent6 135" xfId="1970"/>
    <cellStyle name="20% - Accent6 135 2" xfId="1971"/>
    <cellStyle name="20% - Accent6 136" xfId="1972"/>
    <cellStyle name="20% - Accent6 136 2" xfId="1973"/>
    <cellStyle name="20% - Accent6 137" xfId="1974"/>
    <cellStyle name="20% - Accent6 137 2" xfId="1975"/>
    <cellStyle name="20% - Accent6 138" xfId="1976"/>
    <cellStyle name="20% - Accent6 138 2" xfId="1977"/>
    <cellStyle name="20% - Accent6 139" xfId="1978"/>
    <cellStyle name="20% - Accent6 139 2" xfId="1979"/>
    <cellStyle name="20% - Accent6 14" xfId="1980"/>
    <cellStyle name="20% - Accent6 14 2" xfId="1981"/>
    <cellStyle name="20% - Accent6 14 3" xfId="1982"/>
    <cellStyle name="20% - Accent6 140" xfId="1983"/>
    <cellStyle name="20% - Accent6 140 2" xfId="1984"/>
    <cellStyle name="20% - Accent6 141" xfId="1985"/>
    <cellStyle name="20% - Accent6 141 2" xfId="1986"/>
    <cellStyle name="20% - Accent6 142" xfId="1987"/>
    <cellStyle name="20% - Accent6 142 2" xfId="1988"/>
    <cellStyle name="20% - Accent6 143" xfId="1989"/>
    <cellStyle name="20% - Accent6 143 2" xfId="1990"/>
    <cellStyle name="20% - Accent6 144" xfId="1991"/>
    <cellStyle name="20% - Accent6 144 2" xfId="1992"/>
    <cellStyle name="20% - Accent6 145" xfId="1993"/>
    <cellStyle name="20% - Accent6 145 2" xfId="1994"/>
    <cellStyle name="20% - Accent6 146" xfId="1995"/>
    <cellStyle name="20% - Accent6 146 2" xfId="1996"/>
    <cellStyle name="20% - Accent6 147" xfId="1997"/>
    <cellStyle name="20% - Accent6 147 2" xfId="1998"/>
    <cellStyle name="20% - Accent6 148" xfId="1999"/>
    <cellStyle name="20% - Accent6 148 2" xfId="2000"/>
    <cellStyle name="20% - Accent6 149" xfId="2001"/>
    <cellStyle name="20% - Accent6 149 2" xfId="2002"/>
    <cellStyle name="20% - Accent6 15" xfId="2003"/>
    <cellStyle name="20% - Accent6 15 2" xfId="2004"/>
    <cellStyle name="20% - Accent6 15 3" xfId="2005"/>
    <cellStyle name="20% - Accent6 150" xfId="2006"/>
    <cellStyle name="20% - Accent6 150 2" xfId="2007"/>
    <cellStyle name="20% - Accent6 151" xfId="2008"/>
    <cellStyle name="20% - Accent6 151 2" xfId="2009"/>
    <cellStyle name="20% - Accent6 152" xfId="2010"/>
    <cellStyle name="20% - Accent6 152 2" xfId="2011"/>
    <cellStyle name="20% - Accent6 153" xfId="2012"/>
    <cellStyle name="20% - Accent6 153 2" xfId="2013"/>
    <cellStyle name="20% - Accent6 154" xfId="2014"/>
    <cellStyle name="20% - Accent6 154 2" xfId="2015"/>
    <cellStyle name="20% - Accent6 155" xfId="2016"/>
    <cellStyle name="20% - Accent6 155 2" xfId="2017"/>
    <cellStyle name="20% - Accent6 156" xfId="2018"/>
    <cellStyle name="20% - Accent6 156 2" xfId="2019"/>
    <cellStyle name="20% - Accent6 157" xfId="2020"/>
    <cellStyle name="20% - Accent6 157 2" xfId="2021"/>
    <cellStyle name="20% - Accent6 158" xfId="2022"/>
    <cellStyle name="20% - Accent6 158 2" xfId="2023"/>
    <cellStyle name="20% - Accent6 159" xfId="2024"/>
    <cellStyle name="20% - Accent6 159 2" xfId="2025"/>
    <cellStyle name="20% - Accent6 16" xfId="2026"/>
    <cellStyle name="20% - Accent6 16 2" xfId="2027"/>
    <cellStyle name="20% - Accent6 16 3" xfId="2028"/>
    <cellStyle name="20% - Accent6 160" xfId="2029"/>
    <cellStyle name="20% - Accent6 160 2" xfId="2030"/>
    <cellStyle name="20% - Accent6 161" xfId="2031"/>
    <cellStyle name="20% - Accent6 161 2" xfId="2032"/>
    <cellStyle name="20% - Accent6 162" xfId="2033"/>
    <cellStyle name="20% - Accent6 162 2" xfId="2034"/>
    <cellStyle name="20% - Accent6 163" xfId="2035"/>
    <cellStyle name="20% - Accent6 163 2" xfId="2036"/>
    <cellStyle name="20% - Accent6 164" xfId="2037"/>
    <cellStyle name="20% - Accent6 164 2" xfId="2038"/>
    <cellStyle name="20% - Accent6 165" xfId="2039"/>
    <cellStyle name="20% - Accent6 165 2" xfId="2040"/>
    <cellStyle name="20% - Accent6 166" xfId="2041"/>
    <cellStyle name="20% - Accent6 166 2" xfId="2042"/>
    <cellStyle name="20% - Accent6 167" xfId="2043"/>
    <cellStyle name="20% - Accent6 167 2" xfId="2044"/>
    <cellStyle name="20% - Accent6 168" xfId="2045"/>
    <cellStyle name="20% - Accent6 168 2" xfId="2046"/>
    <cellStyle name="20% - Accent6 169" xfId="2047"/>
    <cellStyle name="20% - Accent6 169 2" xfId="2048"/>
    <cellStyle name="20% - Accent6 17" xfId="2049"/>
    <cellStyle name="20% - Accent6 17 2" xfId="2050"/>
    <cellStyle name="20% - Accent6 17 3" xfId="2051"/>
    <cellStyle name="20% - Accent6 170" xfId="2052"/>
    <cellStyle name="20% - Accent6 170 2" xfId="2053"/>
    <cellStyle name="20% - Accent6 171" xfId="2054"/>
    <cellStyle name="20% - Accent6 171 2" xfId="2055"/>
    <cellStyle name="20% - Accent6 172" xfId="2056"/>
    <cellStyle name="20% - Accent6 172 2" xfId="2057"/>
    <cellStyle name="20% - Accent6 173" xfId="2058"/>
    <cellStyle name="20% - Accent6 173 2" xfId="2059"/>
    <cellStyle name="20% - Accent6 174" xfId="2060"/>
    <cellStyle name="20% - Accent6 174 2" xfId="2061"/>
    <cellStyle name="20% - Accent6 175" xfId="2062"/>
    <cellStyle name="20% - Accent6 175 2" xfId="2063"/>
    <cellStyle name="20% - Accent6 176" xfId="2064"/>
    <cellStyle name="20% - Accent6 176 2" xfId="2065"/>
    <cellStyle name="20% - Accent6 177" xfId="2066"/>
    <cellStyle name="20% - Accent6 177 2" xfId="2067"/>
    <cellStyle name="20% - Accent6 18" xfId="2068"/>
    <cellStyle name="20% - Accent6 18 2" xfId="2069"/>
    <cellStyle name="20% - Accent6 18 3" xfId="2070"/>
    <cellStyle name="20% - Accent6 19" xfId="2071"/>
    <cellStyle name="20% - Accent6 19 2" xfId="2072"/>
    <cellStyle name="20% - Accent6 19 3" xfId="2073"/>
    <cellStyle name="20% - Accent6 2" xfId="2074"/>
    <cellStyle name="20% - Accent6 2 2" xfId="2075"/>
    <cellStyle name="20% - Accent6 2 3" xfId="2076"/>
    <cellStyle name="20% - Accent6 2 4" xfId="2077"/>
    <cellStyle name="20% - Accent6 20" xfId="2078"/>
    <cellStyle name="20% - Accent6 20 2" xfId="2079"/>
    <cellStyle name="20% - Accent6 20 3" xfId="2080"/>
    <cellStyle name="20% - Accent6 21" xfId="2081"/>
    <cellStyle name="20% - Accent6 21 2" xfId="2082"/>
    <cellStyle name="20% - Accent6 21 3" xfId="2083"/>
    <cellStyle name="20% - Accent6 22" xfId="2084"/>
    <cellStyle name="20% - Accent6 22 2" xfId="2085"/>
    <cellStyle name="20% - Accent6 22 3" xfId="2086"/>
    <cellStyle name="20% - Accent6 23" xfId="2087"/>
    <cellStyle name="20% - Accent6 23 2" xfId="2088"/>
    <cellStyle name="20% - Accent6 23 3" xfId="2089"/>
    <cellStyle name="20% - Accent6 24" xfId="2090"/>
    <cellStyle name="20% - Accent6 24 2" xfId="2091"/>
    <cellStyle name="20% - Accent6 24 3" xfId="2092"/>
    <cellStyle name="20% - Accent6 25" xfId="2093"/>
    <cellStyle name="20% - Accent6 25 2" xfId="2094"/>
    <cellStyle name="20% - Accent6 25 3" xfId="2095"/>
    <cellStyle name="20% - Accent6 26" xfId="2096"/>
    <cellStyle name="20% - Accent6 26 2" xfId="2097"/>
    <cellStyle name="20% - Accent6 26 3" xfId="2098"/>
    <cellStyle name="20% - Accent6 27" xfId="2099"/>
    <cellStyle name="20% - Accent6 27 2" xfId="2100"/>
    <cellStyle name="20% - Accent6 27 3" xfId="2101"/>
    <cellStyle name="20% - Accent6 28" xfId="2102"/>
    <cellStyle name="20% - Accent6 28 2" xfId="2103"/>
    <cellStyle name="20% - Accent6 28 3" xfId="2104"/>
    <cellStyle name="20% - Accent6 29" xfId="2105"/>
    <cellStyle name="20% - Accent6 29 2" xfId="2106"/>
    <cellStyle name="20% - Accent6 29 3" xfId="2107"/>
    <cellStyle name="20% - Accent6 3" xfId="2108"/>
    <cellStyle name="20% - Accent6 3 2" xfId="2109"/>
    <cellStyle name="20% - Accent6 3 3" xfId="2110"/>
    <cellStyle name="20% - Accent6 30" xfId="2111"/>
    <cellStyle name="20% - Accent6 30 2" xfId="2112"/>
    <cellStyle name="20% - Accent6 30 3" xfId="2113"/>
    <cellStyle name="20% - Accent6 31" xfId="2114"/>
    <cellStyle name="20% - Accent6 31 2" xfId="2115"/>
    <cellStyle name="20% - Accent6 31 3" xfId="2116"/>
    <cellStyle name="20% - Accent6 32" xfId="2117"/>
    <cellStyle name="20% - Accent6 32 2" xfId="2118"/>
    <cellStyle name="20% - Accent6 32 3" xfId="2119"/>
    <cellStyle name="20% - Accent6 33" xfId="2120"/>
    <cellStyle name="20% - Accent6 33 2" xfId="2121"/>
    <cellStyle name="20% - Accent6 33 3" xfId="2122"/>
    <cellStyle name="20% - Accent6 34" xfId="2123"/>
    <cellStyle name="20% - Accent6 34 2" xfId="2124"/>
    <cellStyle name="20% - Accent6 34 3" xfId="2125"/>
    <cellStyle name="20% - Accent6 35" xfId="2126"/>
    <cellStyle name="20% - Accent6 35 2" xfId="2127"/>
    <cellStyle name="20% - Accent6 35 3" xfId="2128"/>
    <cellStyle name="20% - Accent6 36" xfId="2129"/>
    <cellStyle name="20% - Accent6 36 2" xfId="2130"/>
    <cellStyle name="20% - Accent6 36 3" xfId="2131"/>
    <cellStyle name="20% - Accent6 37" xfId="2132"/>
    <cellStyle name="20% - Accent6 37 2" xfId="2133"/>
    <cellStyle name="20% - Accent6 37 3" xfId="2134"/>
    <cellStyle name="20% - Accent6 38" xfId="2135"/>
    <cellStyle name="20% - Accent6 38 2" xfId="2136"/>
    <cellStyle name="20% - Accent6 38 3" xfId="2137"/>
    <cellStyle name="20% - Accent6 39" xfId="2138"/>
    <cellStyle name="20% - Accent6 39 2" xfId="2139"/>
    <cellStyle name="20% - Accent6 39 3" xfId="2140"/>
    <cellStyle name="20% - Accent6 4" xfId="2141"/>
    <cellStyle name="20% - Accent6 4 2" xfId="2142"/>
    <cellStyle name="20% - Accent6 4 3" xfId="2143"/>
    <cellStyle name="20% - Accent6 40" xfId="2144"/>
    <cellStyle name="20% - Accent6 40 2" xfId="2145"/>
    <cellStyle name="20% - Accent6 40 3" xfId="2146"/>
    <cellStyle name="20% - Accent6 41" xfId="2147"/>
    <cellStyle name="20% - Accent6 41 2" xfId="2148"/>
    <cellStyle name="20% - Accent6 41 3" xfId="2149"/>
    <cellStyle name="20% - Accent6 42" xfId="2150"/>
    <cellStyle name="20% - Accent6 42 2" xfId="2151"/>
    <cellStyle name="20% - Accent6 42 3" xfId="2152"/>
    <cellStyle name="20% - Accent6 43" xfId="2153"/>
    <cellStyle name="20% - Accent6 43 2" xfId="2154"/>
    <cellStyle name="20% - Accent6 43 3" xfId="2155"/>
    <cellStyle name="20% - Accent6 44" xfId="2156"/>
    <cellStyle name="20% - Accent6 44 2" xfId="2157"/>
    <cellStyle name="20% - Accent6 44 3" xfId="2158"/>
    <cellStyle name="20% - Accent6 45" xfId="2159"/>
    <cellStyle name="20% - Accent6 45 2" xfId="2160"/>
    <cellStyle name="20% - Accent6 45 3" xfId="2161"/>
    <cellStyle name="20% - Accent6 46" xfId="2162"/>
    <cellStyle name="20% - Accent6 46 2" xfId="2163"/>
    <cellStyle name="20% - Accent6 46 3" xfId="2164"/>
    <cellStyle name="20% - Accent6 47" xfId="2165"/>
    <cellStyle name="20% - Accent6 47 2" xfId="2166"/>
    <cellStyle name="20% - Accent6 47 3" xfId="2167"/>
    <cellStyle name="20% - Accent6 48" xfId="2168"/>
    <cellStyle name="20% - Accent6 48 2" xfId="2169"/>
    <cellStyle name="20% - Accent6 48 3" xfId="2170"/>
    <cellStyle name="20% - Accent6 49" xfId="2171"/>
    <cellStyle name="20% - Accent6 49 2" xfId="2172"/>
    <cellStyle name="20% - Accent6 49 3" xfId="2173"/>
    <cellStyle name="20% - Accent6 5" xfId="2174"/>
    <cellStyle name="20% - Accent6 5 2" xfId="2175"/>
    <cellStyle name="20% - Accent6 5 3" xfId="2176"/>
    <cellStyle name="20% - Accent6 50" xfId="2177"/>
    <cellStyle name="20% - Accent6 50 2" xfId="2178"/>
    <cellStyle name="20% - Accent6 50 3" xfId="2179"/>
    <cellStyle name="20% - Accent6 51" xfId="2180"/>
    <cellStyle name="20% - Accent6 51 2" xfId="2181"/>
    <cellStyle name="20% - Accent6 51 3" xfId="2182"/>
    <cellStyle name="20% - Accent6 52" xfId="2183"/>
    <cellStyle name="20% - Accent6 52 2" xfId="2184"/>
    <cellStyle name="20% - Accent6 52 3" xfId="2185"/>
    <cellStyle name="20% - Accent6 53" xfId="2186"/>
    <cellStyle name="20% - Accent6 53 2" xfId="2187"/>
    <cellStyle name="20% - Accent6 53 3" xfId="2188"/>
    <cellStyle name="20% - Accent6 54" xfId="2189"/>
    <cellStyle name="20% - Accent6 54 2" xfId="2190"/>
    <cellStyle name="20% - Accent6 54 3" xfId="2191"/>
    <cellStyle name="20% - Accent6 55" xfId="2192"/>
    <cellStyle name="20% - Accent6 55 2" xfId="2193"/>
    <cellStyle name="20% - Accent6 55 3" xfId="2194"/>
    <cellStyle name="20% - Accent6 56" xfId="2195"/>
    <cellStyle name="20% - Accent6 56 2" xfId="2196"/>
    <cellStyle name="20% - Accent6 56 3" xfId="2197"/>
    <cellStyle name="20% - Accent6 57" xfId="2198"/>
    <cellStyle name="20% - Accent6 57 2" xfId="2199"/>
    <cellStyle name="20% - Accent6 57 3" xfId="2200"/>
    <cellStyle name="20% - Accent6 58" xfId="2201"/>
    <cellStyle name="20% - Accent6 58 2" xfId="2202"/>
    <cellStyle name="20% - Accent6 58 3" xfId="2203"/>
    <cellStyle name="20% - Accent6 59" xfId="2204"/>
    <cellStyle name="20% - Accent6 59 2" xfId="2205"/>
    <cellStyle name="20% - Accent6 59 3" xfId="2206"/>
    <cellStyle name="20% - Accent6 6" xfId="2207"/>
    <cellStyle name="20% - Accent6 6 2" xfId="2208"/>
    <cellStyle name="20% - Accent6 6 3" xfId="2209"/>
    <cellStyle name="20% - Accent6 60" xfId="2210"/>
    <cellStyle name="20% - Accent6 60 2" xfId="2211"/>
    <cellStyle name="20% - Accent6 60 3" xfId="2212"/>
    <cellStyle name="20% - Accent6 61" xfId="2213"/>
    <cellStyle name="20% - Accent6 61 2" xfId="2214"/>
    <cellStyle name="20% - Accent6 61 3" xfId="2215"/>
    <cellStyle name="20% - Accent6 62" xfId="2216"/>
    <cellStyle name="20% - Accent6 62 2" xfId="2217"/>
    <cellStyle name="20% - Accent6 62 3" xfId="2218"/>
    <cellStyle name="20% - Accent6 63" xfId="2219"/>
    <cellStyle name="20% - Accent6 63 2" xfId="2220"/>
    <cellStyle name="20% - Accent6 63 3" xfId="2221"/>
    <cellStyle name="20% - Accent6 64" xfId="2222"/>
    <cellStyle name="20% - Accent6 64 2" xfId="2223"/>
    <cellStyle name="20% - Accent6 64 3" xfId="2224"/>
    <cellStyle name="20% - Accent6 65" xfId="2225"/>
    <cellStyle name="20% - Accent6 65 2" xfId="2226"/>
    <cellStyle name="20% - Accent6 65 3" xfId="2227"/>
    <cellStyle name="20% - Accent6 66" xfId="2228"/>
    <cellStyle name="20% - Accent6 66 2" xfId="2229"/>
    <cellStyle name="20% - Accent6 66 3" xfId="2230"/>
    <cellStyle name="20% - Accent6 67" xfId="2231"/>
    <cellStyle name="20% - Accent6 67 2" xfId="2232"/>
    <cellStyle name="20% - Accent6 67 3" xfId="2233"/>
    <cellStyle name="20% - Accent6 68" xfId="2234"/>
    <cellStyle name="20% - Accent6 68 2" xfId="2235"/>
    <cellStyle name="20% - Accent6 68 3" xfId="2236"/>
    <cellStyle name="20% - Accent6 69" xfId="2237"/>
    <cellStyle name="20% - Accent6 69 2" xfId="2238"/>
    <cellStyle name="20% - Accent6 69 3" xfId="2239"/>
    <cellStyle name="20% - Accent6 7" xfId="2240"/>
    <cellStyle name="20% - Accent6 7 2" xfId="2241"/>
    <cellStyle name="20% - Accent6 7 3" xfId="2242"/>
    <cellStyle name="20% - Accent6 70" xfId="2243"/>
    <cellStyle name="20% - Accent6 70 2" xfId="2244"/>
    <cellStyle name="20% - Accent6 70 3" xfId="2245"/>
    <cellStyle name="20% - Accent6 71" xfId="2246"/>
    <cellStyle name="20% - Accent6 71 2" xfId="2247"/>
    <cellStyle name="20% - Accent6 71 3" xfId="2248"/>
    <cellStyle name="20% - Accent6 72" xfId="2249"/>
    <cellStyle name="20% - Accent6 72 2" xfId="2250"/>
    <cellStyle name="20% - Accent6 73" xfId="2251"/>
    <cellStyle name="20% - Accent6 73 2" xfId="2252"/>
    <cellStyle name="20% - Accent6 74" xfId="2253"/>
    <cellStyle name="20% - Accent6 74 2" xfId="2254"/>
    <cellStyle name="20% - Accent6 75" xfId="2255"/>
    <cellStyle name="20% - Accent6 75 2" xfId="2256"/>
    <cellStyle name="20% - Accent6 76" xfId="2257"/>
    <cellStyle name="20% - Accent6 76 2" xfId="2258"/>
    <cellStyle name="20% - Accent6 77" xfId="2259"/>
    <cellStyle name="20% - Accent6 77 2" xfId="2260"/>
    <cellStyle name="20% - Accent6 78" xfId="2261"/>
    <cellStyle name="20% - Accent6 78 2" xfId="2262"/>
    <cellStyle name="20% - Accent6 79" xfId="2263"/>
    <cellStyle name="20% - Accent6 79 2" xfId="2264"/>
    <cellStyle name="20% - Accent6 8" xfId="2265"/>
    <cellStyle name="20% - Accent6 8 2" xfId="2266"/>
    <cellStyle name="20% - Accent6 8 3" xfId="2267"/>
    <cellStyle name="20% - Accent6 80" xfId="2268"/>
    <cellStyle name="20% - Accent6 80 2" xfId="2269"/>
    <cellStyle name="20% - Accent6 81" xfId="2270"/>
    <cellStyle name="20% - Accent6 81 2" xfId="2271"/>
    <cellStyle name="20% - Accent6 82" xfId="2272"/>
    <cellStyle name="20% - Accent6 82 2" xfId="2273"/>
    <cellStyle name="20% - Accent6 83" xfId="2274"/>
    <cellStyle name="20% - Accent6 83 2" xfId="2275"/>
    <cellStyle name="20% - Accent6 84" xfId="2276"/>
    <cellStyle name="20% - Accent6 84 2" xfId="2277"/>
    <cellStyle name="20% - Accent6 85" xfId="2278"/>
    <cellStyle name="20% - Accent6 85 2" xfId="2279"/>
    <cellStyle name="20% - Accent6 86" xfId="2280"/>
    <cellStyle name="20% - Accent6 86 2" xfId="2281"/>
    <cellStyle name="20% - Accent6 87" xfId="2282"/>
    <cellStyle name="20% - Accent6 87 2" xfId="2283"/>
    <cellStyle name="20% - Accent6 88" xfId="2284"/>
    <cellStyle name="20% - Accent6 88 2" xfId="2285"/>
    <cellStyle name="20% - Accent6 89" xfId="2286"/>
    <cellStyle name="20% - Accent6 89 2" xfId="2287"/>
    <cellStyle name="20% - Accent6 9" xfId="2288"/>
    <cellStyle name="20% - Accent6 9 2" xfId="2289"/>
    <cellStyle name="20% - Accent6 9 3" xfId="2290"/>
    <cellStyle name="20% - Accent6 90" xfId="2291"/>
    <cellStyle name="20% - Accent6 90 2" xfId="2292"/>
    <cellStyle name="20% - Accent6 91" xfId="2293"/>
    <cellStyle name="20% - Accent6 91 2" xfId="2294"/>
    <cellStyle name="20% - Accent6 92" xfId="2295"/>
    <cellStyle name="20% - Accent6 92 2" xfId="2296"/>
    <cellStyle name="20% - Accent6 93" xfId="2297"/>
    <cellStyle name="20% - Accent6 93 2" xfId="2298"/>
    <cellStyle name="20% - Accent6 94" xfId="2299"/>
    <cellStyle name="20% - Accent6 94 2" xfId="2300"/>
    <cellStyle name="20% - Accent6 95" xfId="2301"/>
    <cellStyle name="20% - Accent6 95 2" xfId="2302"/>
    <cellStyle name="20% - Accent6 96" xfId="2303"/>
    <cellStyle name="20% - Accent6 96 2" xfId="2304"/>
    <cellStyle name="20% - Accent6 97" xfId="2305"/>
    <cellStyle name="20% - Accent6 97 2" xfId="2306"/>
    <cellStyle name="20% - Accent6 98" xfId="2307"/>
    <cellStyle name="20% - Accent6 98 2" xfId="2308"/>
    <cellStyle name="20% - Accent6 99" xfId="2309"/>
    <cellStyle name="20% - Accent6 99 2" xfId="2310"/>
    <cellStyle name="40% - Accent1 10" xfId="2311"/>
    <cellStyle name="40% - Accent1 10 2" xfId="2312"/>
    <cellStyle name="40% - Accent1 10 3" xfId="2313"/>
    <cellStyle name="40% - Accent1 100" xfId="2314"/>
    <cellStyle name="40% - Accent1 100 2" xfId="2315"/>
    <cellStyle name="40% - Accent1 101" xfId="2316"/>
    <cellStyle name="40% - Accent1 101 2" xfId="2317"/>
    <cellStyle name="40% - Accent1 102" xfId="2318"/>
    <cellStyle name="40% - Accent1 102 2" xfId="2319"/>
    <cellStyle name="40% - Accent1 103" xfId="2320"/>
    <cellStyle name="40% - Accent1 103 2" xfId="2321"/>
    <cellStyle name="40% - Accent1 104" xfId="2322"/>
    <cellStyle name="40% - Accent1 104 2" xfId="2323"/>
    <cellStyle name="40% - Accent1 105" xfId="2324"/>
    <cellStyle name="40% - Accent1 105 2" xfId="2325"/>
    <cellStyle name="40% - Accent1 106" xfId="2326"/>
    <cellStyle name="40% - Accent1 106 2" xfId="2327"/>
    <cellStyle name="40% - Accent1 107" xfId="2328"/>
    <cellStyle name="40% - Accent1 107 2" xfId="2329"/>
    <cellStyle name="40% - Accent1 108" xfId="2330"/>
    <cellStyle name="40% - Accent1 108 2" xfId="2331"/>
    <cellStyle name="40% - Accent1 109" xfId="2332"/>
    <cellStyle name="40% - Accent1 109 2" xfId="2333"/>
    <cellStyle name="40% - Accent1 11" xfId="2334"/>
    <cellStyle name="40% - Accent1 11 2" xfId="2335"/>
    <cellStyle name="40% - Accent1 11 3" xfId="2336"/>
    <cellStyle name="40% - Accent1 110" xfId="2337"/>
    <cellStyle name="40% - Accent1 110 2" xfId="2338"/>
    <cellStyle name="40% - Accent1 111" xfId="2339"/>
    <cellStyle name="40% - Accent1 111 2" xfId="2340"/>
    <cellStyle name="40% - Accent1 112" xfId="2341"/>
    <cellStyle name="40% - Accent1 112 2" xfId="2342"/>
    <cellStyle name="40% - Accent1 113" xfId="2343"/>
    <cellStyle name="40% - Accent1 113 2" xfId="2344"/>
    <cellStyle name="40% - Accent1 114" xfId="2345"/>
    <cellStyle name="40% - Accent1 114 2" xfId="2346"/>
    <cellStyle name="40% - Accent1 115" xfId="2347"/>
    <cellStyle name="40% - Accent1 115 2" xfId="2348"/>
    <cellStyle name="40% - Accent1 116" xfId="2349"/>
    <cellStyle name="40% - Accent1 116 2" xfId="2350"/>
    <cellStyle name="40% - Accent1 117" xfId="2351"/>
    <cellStyle name="40% - Accent1 117 2" xfId="2352"/>
    <cellStyle name="40% - Accent1 118" xfId="2353"/>
    <cellStyle name="40% - Accent1 118 2" xfId="2354"/>
    <cellStyle name="40% - Accent1 119" xfId="2355"/>
    <cellStyle name="40% - Accent1 119 2" xfId="2356"/>
    <cellStyle name="40% - Accent1 12" xfId="2357"/>
    <cellStyle name="40% - Accent1 12 2" xfId="2358"/>
    <cellStyle name="40% - Accent1 12 3" xfId="2359"/>
    <cellStyle name="40% - Accent1 120" xfId="2360"/>
    <cellStyle name="40% - Accent1 120 2" xfId="2361"/>
    <cellStyle name="40% - Accent1 121" xfId="2362"/>
    <cellStyle name="40% - Accent1 121 2" xfId="2363"/>
    <cellStyle name="40% - Accent1 122" xfId="2364"/>
    <cellStyle name="40% - Accent1 122 2" xfId="2365"/>
    <cellStyle name="40% - Accent1 123" xfId="2366"/>
    <cellStyle name="40% - Accent1 123 2" xfId="2367"/>
    <cellStyle name="40% - Accent1 124" xfId="2368"/>
    <cellStyle name="40% - Accent1 124 2" xfId="2369"/>
    <cellStyle name="40% - Accent1 125" xfId="2370"/>
    <cellStyle name="40% - Accent1 125 2" xfId="2371"/>
    <cellStyle name="40% - Accent1 126" xfId="2372"/>
    <cellStyle name="40% - Accent1 126 2" xfId="2373"/>
    <cellStyle name="40% - Accent1 127" xfId="2374"/>
    <cellStyle name="40% - Accent1 127 2" xfId="2375"/>
    <cellStyle name="40% - Accent1 128" xfId="2376"/>
    <cellStyle name="40% - Accent1 128 2" xfId="2377"/>
    <cellStyle name="40% - Accent1 129" xfId="2378"/>
    <cellStyle name="40% - Accent1 129 2" xfId="2379"/>
    <cellStyle name="40% - Accent1 13" xfId="2380"/>
    <cellStyle name="40% - Accent1 13 2" xfId="2381"/>
    <cellStyle name="40% - Accent1 13 3" xfId="2382"/>
    <cellStyle name="40% - Accent1 130" xfId="2383"/>
    <cellStyle name="40% - Accent1 130 2" xfId="2384"/>
    <cellStyle name="40% - Accent1 131" xfId="2385"/>
    <cellStyle name="40% - Accent1 131 2" xfId="2386"/>
    <cellStyle name="40% - Accent1 132" xfId="2387"/>
    <cellStyle name="40% - Accent1 132 2" xfId="2388"/>
    <cellStyle name="40% - Accent1 133" xfId="2389"/>
    <cellStyle name="40% - Accent1 133 2" xfId="2390"/>
    <cellStyle name="40% - Accent1 134" xfId="2391"/>
    <cellStyle name="40% - Accent1 134 2" xfId="2392"/>
    <cellStyle name="40% - Accent1 135" xfId="2393"/>
    <cellStyle name="40% - Accent1 135 2" xfId="2394"/>
    <cellStyle name="40% - Accent1 136" xfId="2395"/>
    <cellStyle name="40% - Accent1 136 2" xfId="2396"/>
    <cellStyle name="40% - Accent1 137" xfId="2397"/>
    <cellStyle name="40% - Accent1 137 2" xfId="2398"/>
    <cellStyle name="40% - Accent1 138" xfId="2399"/>
    <cellStyle name="40% - Accent1 138 2" xfId="2400"/>
    <cellStyle name="40% - Accent1 139" xfId="2401"/>
    <cellStyle name="40% - Accent1 139 2" xfId="2402"/>
    <cellStyle name="40% - Accent1 14" xfId="2403"/>
    <cellStyle name="40% - Accent1 14 2" xfId="2404"/>
    <cellStyle name="40% - Accent1 14 3" xfId="2405"/>
    <cellStyle name="40% - Accent1 140" xfId="2406"/>
    <cellStyle name="40% - Accent1 140 2" xfId="2407"/>
    <cellStyle name="40% - Accent1 141" xfId="2408"/>
    <cellStyle name="40% - Accent1 141 2" xfId="2409"/>
    <cellStyle name="40% - Accent1 142" xfId="2410"/>
    <cellStyle name="40% - Accent1 142 2" xfId="2411"/>
    <cellStyle name="40% - Accent1 143" xfId="2412"/>
    <cellStyle name="40% - Accent1 143 2" xfId="2413"/>
    <cellStyle name="40% - Accent1 144" xfId="2414"/>
    <cellStyle name="40% - Accent1 144 2" xfId="2415"/>
    <cellStyle name="40% - Accent1 145" xfId="2416"/>
    <cellStyle name="40% - Accent1 145 2" xfId="2417"/>
    <cellStyle name="40% - Accent1 146" xfId="2418"/>
    <cellStyle name="40% - Accent1 146 2" xfId="2419"/>
    <cellStyle name="40% - Accent1 147" xfId="2420"/>
    <cellStyle name="40% - Accent1 147 2" xfId="2421"/>
    <cellStyle name="40% - Accent1 148" xfId="2422"/>
    <cellStyle name="40% - Accent1 148 2" xfId="2423"/>
    <cellStyle name="40% - Accent1 149" xfId="2424"/>
    <cellStyle name="40% - Accent1 149 2" xfId="2425"/>
    <cellStyle name="40% - Accent1 15" xfId="2426"/>
    <cellStyle name="40% - Accent1 15 2" xfId="2427"/>
    <cellStyle name="40% - Accent1 15 3" xfId="2428"/>
    <cellStyle name="40% - Accent1 150" xfId="2429"/>
    <cellStyle name="40% - Accent1 150 2" xfId="2430"/>
    <cellStyle name="40% - Accent1 151" xfId="2431"/>
    <cellStyle name="40% - Accent1 151 2" xfId="2432"/>
    <cellStyle name="40% - Accent1 152" xfId="2433"/>
    <cellStyle name="40% - Accent1 152 2" xfId="2434"/>
    <cellStyle name="40% - Accent1 153" xfId="2435"/>
    <cellStyle name="40% - Accent1 153 2" xfId="2436"/>
    <cellStyle name="40% - Accent1 154" xfId="2437"/>
    <cellStyle name="40% - Accent1 154 2" xfId="2438"/>
    <cellStyle name="40% - Accent1 155" xfId="2439"/>
    <cellStyle name="40% - Accent1 155 2" xfId="2440"/>
    <cellStyle name="40% - Accent1 156" xfId="2441"/>
    <cellStyle name="40% - Accent1 156 2" xfId="2442"/>
    <cellStyle name="40% - Accent1 157" xfId="2443"/>
    <cellStyle name="40% - Accent1 157 2" xfId="2444"/>
    <cellStyle name="40% - Accent1 158" xfId="2445"/>
    <cellStyle name="40% - Accent1 158 2" xfId="2446"/>
    <cellStyle name="40% - Accent1 159" xfId="2447"/>
    <cellStyle name="40% - Accent1 159 2" xfId="2448"/>
    <cellStyle name="40% - Accent1 16" xfId="2449"/>
    <cellStyle name="40% - Accent1 16 2" xfId="2450"/>
    <cellStyle name="40% - Accent1 16 3" xfId="2451"/>
    <cellStyle name="40% - Accent1 160" xfId="2452"/>
    <cellStyle name="40% - Accent1 160 2" xfId="2453"/>
    <cellStyle name="40% - Accent1 161" xfId="2454"/>
    <cellStyle name="40% - Accent1 161 2" xfId="2455"/>
    <cellStyle name="40% - Accent1 162" xfId="2456"/>
    <cellStyle name="40% - Accent1 162 2" xfId="2457"/>
    <cellStyle name="40% - Accent1 163" xfId="2458"/>
    <cellStyle name="40% - Accent1 163 2" xfId="2459"/>
    <cellStyle name="40% - Accent1 164" xfId="2460"/>
    <cellStyle name="40% - Accent1 164 2" xfId="2461"/>
    <cellStyle name="40% - Accent1 165" xfId="2462"/>
    <cellStyle name="40% - Accent1 165 2" xfId="2463"/>
    <cellStyle name="40% - Accent1 166" xfId="2464"/>
    <cellStyle name="40% - Accent1 166 2" xfId="2465"/>
    <cellStyle name="40% - Accent1 167" xfId="2466"/>
    <cellStyle name="40% - Accent1 167 2" xfId="2467"/>
    <cellStyle name="40% - Accent1 168" xfId="2468"/>
    <cellStyle name="40% - Accent1 168 2" xfId="2469"/>
    <cellStyle name="40% - Accent1 169" xfId="2470"/>
    <cellStyle name="40% - Accent1 169 2" xfId="2471"/>
    <cellStyle name="40% - Accent1 17" xfId="2472"/>
    <cellStyle name="40% - Accent1 17 2" xfId="2473"/>
    <cellStyle name="40% - Accent1 17 3" xfId="2474"/>
    <cellStyle name="40% - Accent1 170" xfId="2475"/>
    <cellStyle name="40% - Accent1 170 2" xfId="2476"/>
    <cellStyle name="40% - Accent1 171" xfId="2477"/>
    <cellStyle name="40% - Accent1 171 2" xfId="2478"/>
    <cellStyle name="40% - Accent1 172" xfId="2479"/>
    <cellStyle name="40% - Accent1 172 2" xfId="2480"/>
    <cellStyle name="40% - Accent1 173" xfId="2481"/>
    <cellStyle name="40% - Accent1 173 2" xfId="2482"/>
    <cellStyle name="40% - Accent1 174" xfId="2483"/>
    <cellStyle name="40% - Accent1 174 2" xfId="2484"/>
    <cellStyle name="40% - Accent1 175" xfId="2485"/>
    <cellStyle name="40% - Accent1 175 2" xfId="2486"/>
    <cellStyle name="40% - Accent1 176" xfId="2487"/>
    <cellStyle name="40% - Accent1 176 2" xfId="2488"/>
    <cellStyle name="40% - Accent1 177" xfId="2489"/>
    <cellStyle name="40% - Accent1 177 2" xfId="2490"/>
    <cellStyle name="40% - Accent1 18" xfId="2491"/>
    <cellStyle name="40% - Accent1 18 2" xfId="2492"/>
    <cellStyle name="40% - Accent1 18 3" xfId="2493"/>
    <cellStyle name="40% - Accent1 19" xfId="2494"/>
    <cellStyle name="40% - Accent1 19 2" xfId="2495"/>
    <cellStyle name="40% - Accent1 19 3" xfId="2496"/>
    <cellStyle name="40% - Accent1 2" xfId="2497"/>
    <cellStyle name="40% - Accent1 2 2" xfId="2498"/>
    <cellStyle name="40% - Accent1 2 3" xfId="2499"/>
    <cellStyle name="40% - Accent1 2 4" xfId="2500"/>
    <cellStyle name="40% - Accent1 20" xfId="2501"/>
    <cellStyle name="40% - Accent1 20 2" xfId="2502"/>
    <cellStyle name="40% - Accent1 20 3" xfId="2503"/>
    <cellStyle name="40% - Accent1 21" xfId="2504"/>
    <cellStyle name="40% - Accent1 21 2" xfId="2505"/>
    <cellStyle name="40% - Accent1 21 3" xfId="2506"/>
    <cellStyle name="40% - Accent1 22" xfId="2507"/>
    <cellStyle name="40% - Accent1 22 2" xfId="2508"/>
    <cellStyle name="40% - Accent1 22 3" xfId="2509"/>
    <cellStyle name="40% - Accent1 23" xfId="2510"/>
    <cellStyle name="40% - Accent1 23 2" xfId="2511"/>
    <cellStyle name="40% - Accent1 23 3" xfId="2512"/>
    <cellStyle name="40% - Accent1 24" xfId="2513"/>
    <cellStyle name="40% - Accent1 24 2" xfId="2514"/>
    <cellStyle name="40% - Accent1 24 3" xfId="2515"/>
    <cellStyle name="40% - Accent1 25" xfId="2516"/>
    <cellStyle name="40% - Accent1 25 2" xfId="2517"/>
    <cellStyle name="40% - Accent1 25 3" xfId="2518"/>
    <cellStyle name="40% - Accent1 26" xfId="2519"/>
    <cellStyle name="40% - Accent1 26 2" xfId="2520"/>
    <cellStyle name="40% - Accent1 26 3" xfId="2521"/>
    <cellStyle name="40% - Accent1 27" xfId="2522"/>
    <cellStyle name="40% - Accent1 27 2" xfId="2523"/>
    <cellStyle name="40% - Accent1 27 3" xfId="2524"/>
    <cellStyle name="40% - Accent1 28" xfId="2525"/>
    <cellStyle name="40% - Accent1 28 2" xfId="2526"/>
    <cellStyle name="40% - Accent1 28 3" xfId="2527"/>
    <cellStyle name="40% - Accent1 29" xfId="2528"/>
    <cellStyle name="40% - Accent1 29 2" xfId="2529"/>
    <cellStyle name="40% - Accent1 29 3" xfId="2530"/>
    <cellStyle name="40% - Accent1 3" xfId="2531"/>
    <cellStyle name="40% - Accent1 3 2" xfId="2532"/>
    <cellStyle name="40% - Accent1 3 3" xfId="2533"/>
    <cellStyle name="40% - Accent1 30" xfId="2534"/>
    <cellStyle name="40% - Accent1 30 2" xfId="2535"/>
    <cellStyle name="40% - Accent1 30 3" xfId="2536"/>
    <cellStyle name="40% - Accent1 31" xfId="2537"/>
    <cellStyle name="40% - Accent1 31 2" xfId="2538"/>
    <cellStyle name="40% - Accent1 31 3" xfId="2539"/>
    <cellStyle name="40% - Accent1 32" xfId="2540"/>
    <cellStyle name="40% - Accent1 32 2" xfId="2541"/>
    <cellStyle name="40% - Accent1 32 3" xfId="2542"/>
    <cellStyle name="40% - Accent1 33" xfId="2543"/>
    <cellStyle name="40% - Accent1 33 2" xfId="2544"/>
    <cellStyle name="40% - Accent1 33 3" xfId="2545"/>
    <cellStyle name="40% - Accent1 34" xfId="2546"/>
    <cellStyle name="40% - Accent1 34 2" xfId="2547"/>
    <cellStyle name="40% - Accent1 34 3" xfId="2548"/>
    <cellStyle name="40% - Accent1 35" xfId="2549"/>
    <cellStyle name="40% - Accent1 35 2" xfId="2550"/>
    <cellStyle name="40% - Accent1 35 3" xfId="2551"/>
    <cellStyle name="40% - Accent1 36" xfId="2552"/>
    <cellStyle name="40% - Accent1 36 2" xfId="2553"/>
    <cellStyle name="40% - Accent1 36 3" xfId="2554"/>
    <cellStyle name="40% - Accent1 37" xfId="2555"/>
    <cellStyle name="40% - Accent1 37 2" xfId="2556"/>
    <cellStyle name="40% - Accent1 37 3" xfId="2557"/>
    <cellStyle name="40% - Accent1 38" xfId="2558"/>
    <cellStyle name="40% - Accent1 38 2" xfId="2559"/>
    <cellStyle name="40% - Accent1 38 3" xfId="2560"/>
    <cellStyle name="40% - Accent1 39" xfId="2561"/>
    <cellStyle name="40% - Accent1 39 2" xfId="2562"/>
    <cellStyle name="40% - Accent1 39 3" xfId="2563"/>
    <cellStyle name="40% - Accent1 4" xfId="2564"/>
    <cellStyle name="40% - Accent1 4 2" xfId="2565"/>
    <cellStyle name="40% - Accent1 4 3" xfId="2566"/>
    <cellStyle name="40% - Accent1 40" xfId="2567"/>
    <cellStyle name="40% - Accent1 40 2" xfId="2568"/>
    <cellStyle name="40% - Accent1 40 3" xfId="2569"/>
    <cellStyle name="40% - Accent1 41" xfId="2570"/>
    <cellStyle name="40% - Accent1 41 2" xfId="2571"/>
    <cellStyle name="40% - Accent1 41 3" xfId="2572"/>
    <cellStyle name="40% - Accent1 42" xfId="2573"/>
    <cellStyle name="40% - Accent1 42 2" xfId="2574"/>
    <cellStyle name="40% - Accent1 42 3" xfId="2575"/>
    <cellStyle name="40% - Accent1 43" xfId="2576"/>
    <cellStyle name="40% - Accent1 43 2" xfId="2577"/>
    <cellStyle name="40% - Accent1 43 3" xfId="2578"/>
    <cellStyle name="40% - Accent1 44" xfId="2579"/>
    <cellStyle name="40% - Accent1 44 2" xfId="2580"/>
    <cellStyle name="40% - Accent1 44 3" xfId="2581"/>
    <cellStyle name="40% - Accent1 45" xfId="2582"/>
    <cellStyle name="40% - Accent1 45 2" xfId="2583"/>
    <cellStyle name="40% - Accent1 45 3" xfId="2584"/>
    <cellStyle name="40% - Accent1 46" xfId="2585"/>
    <cellStyle name="40% - Accent1 46 2" xfId="2586"/>
    <cellStyle name="40% - Accent1 46 3" xfId="2587"/>
    <cellStyle name="40% - Accent1 47" xfId="2588"/>
    <cellStyle name="40% - Accent1 47 2" xfId="2589"/>
    <cellStyle name="40% - Accent1 47 3" xfId="2590"/>
    <cellStyle name="40% - Accent1 48" xfId="2591"/>
    <cellStyle name="40% - Accent1 48 2" xfId="2592"/>
    <cellStyle name="40% - Accent1 48 3" xfId="2593"/>
    <cellStyle name="40% - Accent1 49" xfId="2594"/>
    <cellStyle name="40% - Accent1 49 2" xfId="2595"/>
    <cellStyle name="40% - Accent1 49 3" xfId="2596"/>
    <cellStyle name="40% - Accent1 5" xfId="2597"/>
    <cellStyle name="40% - Accent1 5 2" xfId="2598"/>
    <cellStyle name="40% - Accent1 5 3" xfId="2599"/>
    <cellStyle name="40% - Accent1 50" xfId="2600"/>
    <cellStyle name="40% - Accent1 50 2" xfId="2601"/>
    <cellStyle name="40% - Accent1 50 3" xfId="2602"/>
    <cellStyle name="40% - Accent1 51" xfId="2603"/>
    <cellStyle name="40% - Accent1 51 2" xfId="2604"/>
    <cellStyle name="40% - Accent1 51 3" xfId="2605"/>
    <cellStyle name="40% - Accent1 52" xfId="2606"/>
    <cellStyle name="40% - Accent1 52 2" xfId="2607"/>
    <cellStyle name="40% - Accent1 52 3" xfId="2608"/>
    <cellStyle name="40% - Accent1 53" xfId="2609"/>
    <cellStyle name="40% - Accent1 53 2" xfId="2610"/>
    <cellStyle name="40% - Accent1 53 3" xfId="2611"/>
    <cellStyle name="40% - Accent1 54" xfId="2612"/>
    <cellStyle name="40% - Accent1 54 2" xfId="2613"/>
    <cellStyle name="40% - Accent1 54 3" xfId="2614"/>
    <cellStyle name="40% - Accent1 55" xfId="2615"/>
    <cellStyle name="40% - Accent1 55 2" xfId="2616"/>
    <cellStyle name="40% - Accent1 55 3" xfId="2617"/>
    <cellStyle name="40% - Accent1 56" xfId="2618"/>
    <cellStyle name="40% - Accent1 56 2" xfId="2619"/>
    <cellStyle name="40% - Accent1 56 3" xfId="2620"/>
    <cellStyle name="40% - Accent1 57" xfId="2621"/>
    <cellStyle name="40% - Accent1 57 2" xfId="2622"/>
    <cellStyle name="40% - Accent1 57 3" xfId="2623"/>
    <cellStyle name="40% - Accent1 58" xfId="2624"/>
    <cellStyle name="40% - Accent1 58 2" xfId="2625"/>
    <cellStyle name="40% - Accent1 58 3" xfId="2626"/>
    <cellStyle name="40% - Accent1 59" xfId="2627"/>
    <cellStyle name="40% - Accent1 59 2" xfId="2628"/>
    <cellStyle name="40% - Accent1 59 3" xfId="2629"/>
    <cellStyle name="40% - Accent1 6" xfId="2630"/>
    <cellStyle name="40% - Accent1 6 2" xfId="2631"/>
    <cellStyle name="40% - Accent1 6 3" xfId="2632"/>
    <cellStyle name="40% - Accent1 60" xfId="2633"/>
    <cellStyle name="40% - Accent1 60 2" xfId="2634"/>
    <cellStyle name="40% - Accent1 60 3" xfId="2635"/>
    <cellStyle name="40% - Accent1 61" xfId="2636"/>
    <cellStyle name="40% - Accent1 61 2" xfId="2637"/>
    <cellStyle name="40% - Accent1 61 3" xfId="2638"/>
    <cellStyle name="40% - Accent1 62" xfId="2639"/>
    <cellStyle name="40% - Accent1 62 2" xfId="2640"/>
    <cellStyle name="40% - Accent1 62 3" xfId="2641"/>
    <cellStyle name="40% - Accent1 63" xfId="2642"/>
    <cellStyle name="40% - Accent1 63 2" xfId="2643"/>
    <cellStyle name="40% - Accent1 63 3" xfId="2644"/>
    <cellStyle name="40% - Accent1 64" xfId="2645"/>
    <cellStyle name="40% - Accent1 64 2" xfId="2646"/>
    <cellStyle name="40% - Accent1 64 3" xfId="2647"/>
    <cellStyle name="40% - Accent1 65" xfId="2648"/>
    <cellStyle name="40% - Accent1 65 2" xfId="2649"/>
    <cellStyle name="40% - Accent1 65 3" xfId="2650"/>
    <cellStyle name="40% - Accent1 66" xfId="2651"/>
    <cellStyle name="40% - Accent1 66 2" xfId="2652"/>
    <cellStyle name="40% - Accent1 66 3" xfId="2653"/>
    <cellStyle name="40% - Accent1 67" xfId="2654"/>
    <cellStyle name="40% - Accent1 67 2" xfId="2655"/>
    <cellStyle name="40% - Accent1 67 3" xfId="2656"/>
    <cellStyle name="40% - Accent1 68" xfId="2657"/>
    <cellStyle name="40% - Accent1 68 2" xfId="2658"/>
    <cellStyle name="40% - Accent1 68 3" xfId="2659"/>
    <cellStyle name="40% - Accent1 69" xfId="2660"/>
    <cellStyle name="40% - Accent1 69 2" xfId="2661"/>
    <cellStyle name="40% - Accent1 69 3" xfId="2662"/>
    <cellStyle name="40% - Accent1 7" xfId="2663"/>
    <cellStyle name="40% - Accent1 7 2" xfId="2664"/>
    <cellStyle name="40% - Accent1 7 3" xfId="2665"/>
    <cellStyle name="40% - Accent1 70" xfId="2666"/>
    <cellStyle name="40% - Accent1 70 2" xfId="2667"/>
    <cellStyle name="40% - Accent1 70 3" xfId="2668"/>
    <cellStyle name="40% - Accent1 71" xfId="2669"/>
    <cellStyle name="40% - Accent1 71 2" xfId="2670"/>
    <cellStyle name="40% - Accent1 71 3" xfId="2671"/>
    <cellStyle name="40% - Accent1 72" xfId="2672"/>
    <cellStyle name="40% - Accent1 72 2" xfId="2673"/>
    <cellStyle name="40% - Accent1 73" xfId="2674"/>
    <cellStyle name="40% - Accent1 73 2" xfId="2675"/>
    <cellStyle name="40% - Accent1 74" xfId="2676"/>
    <cellStyle name="40% - Accent1 74 2" xfId="2677"/>
    <cellStyle name="40% - Accent1 75" xfId="2678"/>
    <cellStyle name="40% - Accent1 75 2" xfId="2679"/>
    <cellStyle name="40% - Accent1 76" xfId="2680"/>
    <cellStyle name="40% - Accent1 76 2" xfId="2681"/>
    <cellStyle name="40% - Accent1 77" xfId="2682"/>
    <cellStyle name="40% - Accent1 77 2" xfId="2683"/>
    <cellStyle name="40% - Accent1 78" xfId="2684"/>
    <cellStyle name="40% - Accent1 78 2" xfId="2685"/>
    <cellStyle name="40% - Accent1 79" xfId="2686"/>
    <cellStyle name="40% - Accent1 79 2" xfId="2687"/>
    <cellStyle name="40% - Accent1 8" xfId="2688"/>
    <cellStyle name="40% - Accent1 8 2" xfId="2689"/>
    <cellStyle name="40% - Accent1 8 3" xfId="2690"/>
    <cellStyle name="40% - Accent1 80" xfId="2691"/>
    <cellStyle name="40% - Accent1 80 2" xfId="2692"/>
    <cellStyle name="40% - Accent1 81" xfId="2693"/>
    <cellStyle name="40% - Accent1 81 2" xfId="2694"/>
    <cellStyle name="40% - Accent1 82" xfId="2695"/>
    <cellStyle name="40% - Accent1 82 2" xfId="2696"/>
    <cellStyle name="40% - Accent1 83" xfId="2697"/>
    <cellStyle name="40% - Accent1 83 2" xfId="2698"/>
    <cellStyle name="40% - Accent1 84" xfId="2699"/>
    <cellStyle name="40% - Accent1 84 2" xfId="2700"/>
    <cellStyle name="40% - Accent1 85" xfId="2701"/>
    <cellStyle name="40% - Accent1 85 2" xfId="2702"/>
    <cellStyle name="40% - Accent1 86" xfId="2703"/>
    <cellStyle name="40% - Accent1 86 2" xfId="2704"/>
    <cellStyle name="40% - Accent1 87" xfId="2705"/>
    <cellStyle name="40% - Accent1 87 2" xfId="2706"/>
    <cellStyle name="40% - Accent1 88" xfId="2707"/>
    <cellStyle name="40% - Accent1 88 2" xfId="2708"/>
    <cellStyle name="40% - Accent1 89" xfId="2709"/>
    <cellStyle name="40% - Accent1 89 2" xfId="2710"/>
    <cellStyle name="40% - Accent1 9" xfId="2711"/>
    <cellStyle name="40% - Accent1 9 2" xfId="2712"/>
    <cellStyle name="40% - Accent1 9 3" xfId="2713"/>
    <cellStyle name="40% - Accent1 90" xfId="2714"/>
    <cellStyle name="40% - Accent1 90 2" xfId="2715"/>
    <cellStyle name="40% - Accent1 91" xfId="2716"/>
    <cellStyle name="40% - Accent1 91 2" xfId="2717"/>
    <cellStyle name="40% - Accent1 92" xfId="2718"/>
    <cellStyle name="40% - Accent1 92 2" xfId="2719"/>
    <cellStyle name="40% - Accent1 93" xfId="2720"/>
    <cellStyle name="40% - Accent1 93 2" xfId="2721"/>
    <cellStyle name="40% - Accent1 94" xfId="2722"/>
    <cellStyle name="40% - Accent1 94 2" xfId="2723"/>
    <cellStyle name="40% - Accent1 95" xfId="2724"/>
    <cellStyle name="40% - Accent1 95 2" xfId="2725"/>
    <cellStyle name="40% - Accent1 96" xfId="2726"/>
    <cellStyle name="40% - Accent1 96 2" xfId="2727"/>
    <cellStyle name="40% - Accent1 97" xfId="2728"/>
    <cellStyle name="40% - Accent1 97 2" xfId="2729"/>
    <cellStyle name="40% - Accent1 98" xfId="2730"/>
    <cellStyle name="40% - Accent1 98 2" xfId="2731"/>
    <cellStyle name="40% - Accent1 99" xfId="2732"/>
    <cellStyle name="40% - Accent1 99 2" xfId="2733"/>
    <cellStyle name="40% - Accent2 10" xfId="2734"/>
    <cellStyle name="40% - Accent2 10 2" xfId="2735"/>
    <cellStyle name="40% - Accent2 10 3" xfId="2736"/>
    <cellStyle name="40% - Accent2 11" xfId="2737"/>
    <cellStyle name="40% - Accent2 11 2" xfId="2738"/>
    <cellStyle name="40% - Accent2 11 3" xfId="2739"/>
    <cellStyle name="40% - Accent2 12" xfId="2740"/>
    <cellStyle name="40% - Accent2 12 2" xfId="2741"/>
    <cellStyle name="40% - Accent2 12 3" xfId="2742"/>
    <cellStyle name="40% - Accent2 13" xfId="2743"/>
    <cellStyle name="40% - Accent2 13 2" xfId="2744"/>
    <cellStyle name="40% - Accent2 13 3" xfId="2745"/>
    <cellStyle name="40% - Accent2 14" xfId="2746"/>
    <cellStyle name="40% - Accent2 14 2" xfId="2747"/>
    <cellStyle name="40% - Accent2 14 3" xfId="2748"/>
    <cellStyle name="40% - Accent2 15" xfId="2749"/>
    <cellStyle name="40% - Accent2 15 2" xfId="2750"/>
    <cellStyle name="40% - Accent2 15 3" xfId="2751"/>
    <cellStyle name="40% - Accent2 16" xfId="2752"/>
    <cellStyle name="40% - Accent2 16 2" xfId="2753"/>
    <cellStyle name="40% - Accent2 16 3" xfId="2754"/>
    <cellStyle name="40% - Accent2 17" xfId="2755"/>
    <cellStyle name="40% - Accent2 17 2" xfId="2756"/>
    <cellStyle name="40% - Accent2 17 3" xfId="2757"/>
    <cellStyle name="40% - Accent2 18" xfId="2758"/>
    <cellStyle name="40% - Accent2 18 2" xfId="2759"/>
    <cellStyle name="40% - Accent2 18 3" xfId="2760"/>
    <cellStyle name="40% - Accent2 19" xfId="2761"/>
    <cellStyle name="40% - Accent2 19 2" xfId="2762"/>
    <cellStyle name="40% - Accent2 19 3" xfId="2763"/>
    <cellStyle name="40% - Accent2 2" xfId="2764"/>
    <cellStyle name="40% - Accent2 2 2" xfId="2765"/>
    <cellStyle name="40% - Accent2 2 3" xfId="2766"/>
    <cellStyle name="40% - Accent2 2 4" xfId="2767"/>
    <cellStyle name="40% - Accent2 20" xfId="2768"/>
    <cellStyle name="40% - Accent2 20 2" xfId="2769"/>
    <cellStyle name="40% - Accent2 20 3" xfId="2770"/>
    <cellStyle name="40% - Accent2 21" xfId="2771"/>
    <cellStyle name="40% - Accent2 21 2" xfId="2772"/>
    <cellStyle name="40% - Accent2 21 3" xfId="2773"/>
    <cellStyle name="40% - Accent2 22" xfId="2774"/>
    <cellStyle name="40% - Accent2 22 2" xfId="2775"/>
    <cellStyle name="40% - Accent2 22 3" xfId="2776"/>
    <cellStyle name="40% - Accent2 23" xfId="2777"/>
    <cellStyle name="40% - Accent2 23 2" xfId="2778"/>
    <cellStyle name="40% - Accent2 23 3" xfId="2779"/>
    <cellStyle name="40% - Accent2 24" xfId="2780"/>
    <cellStyle name="40% - Accent2 24 2" xfId="2781"/>
    <cellStyle name="40% - Accent2 24 3" xfId="2782"/>
    <cellStyle name="40% - Accent2 25" xfId="2783"/>
    <cellStyle name="40% - Accent2 25 2" xfId="2784"/>
    <cellStyle name="40% - Accent2 25 3" xfId="2785"/>
    <cellStyle name="40% - Accent2 26" xfId="2786"/>
    <cellStyle name="40% - Accent2 26 2" xfId="2787"/>
    <cellStyle name="40% - Accent2 26 3" xfId="2788"/>
    <cellStyle name="40% - Accent2 27" xfId="2789"/>
    <cellStyle name="40% - Accent2 27 2" xfId="2790"/>
    <cellStyle name="40% - Accent2 27 3" xfId="2791"/>
    <cellStyle name="40% - Accent2 28" xfId="2792"/>
    <cellStyle name="40% - Accent2 28 2" xfId="2793"/>
    <cellStyle name="40% - Accent2 28 3" xfId="2794"/>
    <cellStyle name="40% - Accent2 29" xfId="2795"/>
    <cellStyle name="40% - Accent2 29 2" xfId="2796"/>
    <cellStyle name="40% - Accent2 29 3" xfId="2797"/>
    <cellStyle name="40% - Accent2 3" xfId="2798"/>
    <cellStyle name="40% - Accent2 3 2" xfId="2799"/>
    <cellStyle name="40% - Accent2 3 3" xfId="2800"/>
    <cellStyle name="40% - Accent2 30" xfId="2801"/>
    <cellStyle name="40% - Accent2 30 2" xfId="2802"/>
    <cellStyle name="40% - Accent2 30 3" xfId="2803"/>
    <cellStyle name="40% - Accent2 31" xfId="2804"/>
    <cellStyle name="40% - Accent2 31 2" xfId="2805"/>
    <cellStyle name="40% - Accent2 31 3" xfId="2806"/>
    <cellStyle name="40% - Accent2 32" xfId="2807"/>
    <cellStyle name="40% - Accent2 32 2" xfId="2808"/>
    <cellStyle name="40% - Accent2 32 3" xfId="2809"/>
    <cellStyle name="40% - Accent2 33" xfId="2810"/>
    <cellStyle name="40% - Accent2 33 2" xfId="2811"/>
    <cellStyle name="40% - Accent2 33 3" xfId="2812"/>
    <cellStyle name="40% - Accent2 34" xfId="2813"/>
    <cellStyle name="40% - Accent2 34 2" xfId="2814"/>
    <cellStyle name="40% - Accent2 34 3" xfId="2815"/>
    <cellStyle name="40% - Accent2 35" xfId="2816"/>
    <cellStyle name="40% - Accent2 35 2" xfId="2817"/>
    <cellStyle name="40% - Accent2 35 3" xfId="2818"/>
    <cellStyle name="40% - Accent2 36" xfId="2819"/>
    <cellStyle name="40% - Accent2 36 2" xfId="2820"/>
    <cellStyle name="40% - Accent2 36 3" xfId="2821"/>
    <cellStyle name="40% - Accent2 37" xfId="2822"/>
    <cellStyle name="40% - Accent2 37 2" xfId="2823"/>
    <cellStyle name="40% - Accent2 37 3" xfId="2824"/>
    <cellStyle name="40% - Accent2 38" xfId="2825"/>
    <cellStyle name="40% - Accent2 38 2" xfId="2826"/>
    <cellStyle name="40% - Accent2 38 3" xfId="2827"/>
    <cellStyle name="40% - Accent2 39" xfId="2828"/>
    <cellStyle name="40% - Accent2 39 2" xfId="2829"/>
    <cellStyle name="40% - Accent2 39 3" xfId="2830"/>
    <cellStyle name="40% - Accent2 4" xfId="2831"/>
    <cellStyle name="40% - Accent2 4 2" xfId="2832"/>
    <cellStyle name="40% - Accent2 4 3" xfId="2833"/>
    <cellStyle name="40% - Accent2 40" xfId="2834"/>
    <cellStyle name="40% - Accent2 40 2" xfId="2835"/>
    <cellStyle name="40% - Accent2 40 3" xfId="2836"/>
    <cellStyle name="40% - Accent2 41" xfId="2837"/>
    <cellStyle name="40% - Accent2 41 2" xfId="2838"/>
    <cellStyle name="40% - Accent2 41 3" xfId="2839"/>
    <cellStyle name="40% - Accent2 42" xfId="2840"/>
    <cellStyle name="40% - Accent2 42 2" xfId="2841"/>
    <cellStyle name="40% - Accent2 42 3" xfId="2842"/>
    <cellStyle name="40% - Accent2 43" xfId="2843"/>
    <cellStyle name="40% - Accent2 43 2" xfId="2844"/>
    <cellStyle name="40% - Accent2 43 3" xfId="2845"/>
    <cellStyle name="40% - Accent2 44" xfId="2846"/>
    <cellStyle name="40% - Accent2 44 2" xfId="2847"/>
    <cellStyle name="40% - Accent2 44 3" xfId="2848"/>
    <cellStyle name="40% - Accent2 45" xfId="2849"/>
    <cellStyle name="40% - Accent2 45 2" xfId="2850"/>
    <cellStyle name="40% - Accent2 45 3" xfId="2851"/>
    <cellStyle name="40% - Accent2 46" xfId="2852"/>
    <cellStyle name="40% - Accent2 46 2" xfId="2853"/>
    <cellStyle name="40% - Accent2 46 3" xfId="2854"/>
    <cellStyle name="40% - Accent2 47" xfId="2855"/>
    <cellStyle name="40% - Accent2 47 2" xfId="2856"/>
    <cellStyle name="40% - Accent2 47 3" xfId="2857"/>
    <cellStyle name="40% - Accent2 48" xfId="2858"/>
    <cellStyle name="40% - Accent2 48 2" xfId="2859"/>
    <cellStyle name="40% - Accent2 48 3" xfId="2860"/>
    <cellStyle name="40% - Accent2 49" xfId="2861"/>
    <cellStyle name="40% - Accent2 49 2" xfId="2862"/>
    <cellStyle name="40% - Accent2 49 3" xfId="2863"/>
    <cellStyle name="40% - Accent2 5" xfId="2864"/>
    <cellStyle name="40% - Accent2 5 2" xfId="2865"/>
    <cellStyle name="40% - Accent2 5 3" xfId="2866"/>
    <cellStyle name="40% - Accent2 50" xfId="2867"/>
    <cellStyle name="40% - Accent2 50 2" xfId="2868"/>
    <cellStyle name="40% - Accent2 50 3" xfId="2869"/>
    <cellStyle name="40% - Accent2 51" xfId="2870"/>
    <cellStyle name="40% - Accent2 51 2" xfId="2871"/>
    <cellStyle name="40% - Accent2 51 3" xfId="2872"/>
    <cellStyle name="40% - Accent2 52" xfId="2873"/>
    <cellStyle name="40% - Accent2 52 2" xfId="2874"/>
    <cellStyle name="40% - Accent2 52 3" xfId="2875"/>
    <cellStyle name="40% - Accent2 53" xfId="2876"/>
    <cellStyle name="40% - Accent2 53 2" xfId="2877"/>
    <cellStyle name="40% - Accent2 53 3" xfId="2878"/>
    <cellStyle name="40% - Accent2 54" xfId="2879"/>
    <cellStyle name="40% - Accent2 54 2" xfId="2880"/>
    <cellStyle name="40% - Accent2 54 3" xfId="2881"/>
    <cellStyle name="40% - Accent2 55" xfId="2882"/>
    <cellStyle name="40% - Accent2 55 2" xfId="2883"/>
    <cellStyle name="40% - Accent2 55 3" xfId="2884"/>
    <cellStyle name="40% - Accent2 56" xfId="2885"/>
    <cellStyle name="40% - Accent2 56 2" xfId="2886"/>
    <cellStyle name="40% - Accent2 56 3" xfId="2887"/>
    <cellStyle name="40% - Accent2 57" xfId="2888"/>
    <cellStyle name="40% - Accent2 57 2" xfId="2889"/>
    <cellStyle name="40% - Accent2 57 3" xfId="2890"/>
    <cellStyle name="40% - Accent2 58" xfId="2891"/>
    <cellStyle name="40% - Accent2 58 2" xfId="2892"/>
    <cellStyle name="40% - Accent2 58 3" xfId="2893"/>
    <cellStyle name="40% - Accent2 59" xfId="2894"/>
    <cellStyle name="40% - Accent2 59 2" xfId="2895"/>
    <cellStyle name="40% - Accent2 59 3" xfId="2896"/>
    <cellStyle name="40% - Accent2 6" xfId="2897"/>
    <cellStyle name="40% - Accent2 6 2" xfId="2898"/>
    <cellStyle name="40% - Accent2 6 3" xfId="2899"/>
    <cellStyle name="40% - Accent2 60" xfId="2900"/>
    <cellStyle name="40% - Accent2 60 2" xfId="2901"/>
    <cellStyle name="40% - Accent2 60 3" xfId="2902"/>
    <cellStyle name="40% - Accent2 61" xfId="2903"/>
    <cellStyle name="40% - Accent2 61 2" xfId="2904"/>
    <cellStyle name="40% - Accent2 61 3" xfId="2905"/>
    <cellStyle name="40% - Accent2 62" xfId="2906"/>
    <cellStyle name="40% - Accent2 63" xfId="2907"/>
    <cellStyle name="40% - Accent2 64" xfId="2908"/>
    <cellStyle name="40% - Accent2 65" xfId="2909"/>
    <cellStyle name="40% - Accent2 66" xfId="2910"/>
    <cellStyle name="40% - Accent2 67" xfId="2911"/>
    <cellStyle name="40% - Accent2 68" xfId="2912"/>
    <cellStyle name="40% - Accent2 69" xfId="2913"/>
    <cellStyle name="40% - Accent2 7" xfId="2914"/>
    <cellStyle name="40% - Accent2 7 2" xfId="2915"/>
    <cellStyle name="40% - Accent2 7 3" xfId="2916"/>
    <cellStyle name="40% - Accent2 70" xfId="2917"/>
    <cellStyle name="40% - Accent2 71" xfId="2918"/>
    <cellStyle name="40% - Accent2 8" xfId="2919"/>
    <cellStyle name="40% - Accent2 8 2" xfId="2920"/>
    <cellStyle name="40% - Accent2 8 3" xfId="2921"/>
    <cellStyle name="40% - Accent2 9" xfId="2922"/>
    <cellStyle name="40% - Accent2 9 2" xfId="2923"/>
    <cellStyle name="40% - Accent2 9 3" xfId="2924"/>
    <cellStyle name="40% - Accent3 10" xfId="2925"/>
    <cellStyle name="40% - Accent3 10 2" xfId="2926"/>
    <cellStyle name="40% - Accent3 10 3" xfId="2927"/>
    <cellStyle name="40% - Accent3 100" xfId="2928"/>
    <cellStyle name="40% - Accent3 100 2" xfId="2929"/>
    <cellStyle name="40% - Accent3 101" xfId="2930"/>
    <cellStyle name="40% - Accent3 101 2" xfId="2931"/>
    <cellStyle name="40% - Accent3 102" xfId="2932"/>
    <cellStyle name="40% - Accent3 102 2" xfId="2933"/>
    <cellStyle name="40% - Accent3 103" xfId="2934"/>
    <cellStyle name="40% - Accent3 103 2" xfId="2935"/>
    <cellStyle name="40% - Accent3 104" xfId="2936"/>
    <cellStyle name="40% - Accent3 104 2" xfId="2937"/>
    <cellStyle name="40% - Accent3 105" xfId="2938"/>
    <cellStyle name="40% - Accent3 105 2" xfId="2939"/>
    <cellStyle name="40% - Accent3 106" xfId="2940"/>
    <cellStyle name="40% - Accent3 106 2" xfId="2941"/>
    <cellStyle name="40% - Accent3 107" xfId="2942"/>
    <cellStyle name="40% - Accent3 107 2" xfId="2943"/>
    <cellStyle name="40% - Accent3 108" xfId="2944"/>
    <cellStyle name="40% - Accent3 108 2" xfId="2945"/>
    <cellStyle name="40% - Accent3 109" xfId="2946"/>
    <cellStyle name="40% - Accent3 109 2" xfId="2947"/>
    <cellStyle name="40% - Accent3 11" xfId="2948"/>
    <cellStyle name="40% - Accent3 11 2" xfId="2949"/>
    <cellStyle name="40% - Accent3 11 3" xfId="2950"/>
    <cellStyle name="40% - Accent3 110" xfId="2951"/>
    <cellStyle name="40% - Accent3 110 2" xfId="2952"/>
    <cellStyle name="40% - Accent3 111" xfId="2953"/>
    <cellStyle name="40% - Accent3 111 2" xfId="2954"/>
    <cellStyle name="40% - Accent3 112" xfId="2955"/>
    <cellStyle name="40% - Accent3 112 2" xfId="2956"/>
    <cellStyle name="40% - Accent3 113" xfId="2957"/>
    <cellStyle name="40% - Accent3 113 2" xfId="2958"/>
    <cellStyle name="40% - Accent3 114" xfId="2959"/>
    <cellStyle name="40% - Accent3 114 2" xfId="2960"/>
    <cellStyle name="40% - Accent3 115" xfId="2961"/>
    <cellStyle name="40% - Accent3 115 2" xfId="2962"/>
    <cellStyle name="40% - Accent3 116" xfId="2963"/>
    <cellStyle name="40% - Accent3 116 2" xfId="2964"/>
    <cellStyle name="40% - Accent3 117" xfId="2965"/>
    <cellStyle name="40% - Accent3 117 2" xfId="2966"/>
    <cellStyle name="40% - Accent3 118" xfId="2967"/>
    <cellStyle name="40% - Accent3 118 2" xfId="2968"/>
    <cellStyle name="40% - Accent3 119" xfId="2969"/>
    <cellStyle name="40% - Accent3 119 2" xfId="2970"/>
    <cellStyle name="40% - Accent3 12" xfId="2971"/>
    <cellStyle name="40% - Accent3 12 2" xfId="2972"/>
    <cellStyle name="40% - Accent3 12 3" xfId="2973"/>
    <cellStyle name="40% - Accent3 120" xfId="2974"/>
    <cellStyle name="40% - Accent3 120 2" xfId="2975"/>
    <cellStyle name="40% - Accent3 121" xfId="2976"/>
    <cellStyle name="40% - Accent3 121 2" xfId="2977"/>
    <cellStyle name="40% - Accent3 122" xfId="2978"/>
    <cellStyle name="40% - Accent3 122 2" xfId="2979"/>
    <cellStyle name="40% - Accent3 123" xfId="2980"/>
    <cellStyle name="40% - Accent3 123 2" xfId="2981"/>
    <cellStyle name="40% - Accent3 124" xfId="2982"/>
    <cellStyle name="40% - Accent3 124 2" xfId="2983"/>
    <cellStyle name="40% - Accent3 125" xfId="2984"/>
    <cellStyle name="40% - Accent3 125 2" xfId="2985"/>
    <cellStyle name="40% - Accent3 126" xfId="2986"/>
    <cellStyle name="40% - Accent3 126 2" xfId="2987"/>
    <cellStyle name="40% - Accent3 127" xfId="2988"/>
    <cellStyle name="40% - Accent3 127 2" xfId="2989"/>
    <cellStyle name="40% - Accent3 128" xfId="2990"/>
    <cellStyle name="40% - Accent3 128 2" xfId="2991"/>
    <cellStyle name="40% - Accent3 129" xfId="2992"/>
    <cellStyle name="40% - Accent3 129 2" xfId="2993"/>
    <cellStyle name="40% - Accent3 13" xfId="2994"/>
    <cellStyle name="40% - Accent3 13 2" xfId="2995"/>
    <cellStyle name="40% - Accent3 13 3" xfId="2996"/>
    <cellStyle name="40% - Accent3 130" xfId="2997"/>
    <cellStyle name="40% - Accent3 130 2" xfId="2998"/>
    <cellStyle name="40% - Accent3 131" xfId="2999"/>
    <cellStyle name="40% - Accent3 131 2" xfId="3000"/>
    <cellStyle name="40% - Accent3 132" xfId="3001"/>
    <cellStyle name="40% - Accent3 132 2" xfId="3002"/>
    <cellStyle name="40% - Accent3 133" xfId="3003"/>
    <cellStyle name="40% - Accent3 133 2" xfId="3004"/>
    <cellStyle name="40% - Accent3 134" xfId="3005"/>
    <cellStyle name="40% - Accent3 134 2" xfId="3006"/>
    <cellStyle name="40% - Accent3 135" xfId="3007"/>
    <cellStyle name="40% - Accent3 135 2" xfId="3008"/>
    <cellStyle name="40% - Accent3 136" xfId="3009"/>
    <cellStyle name="40% - Accent3 136 2" xfId="3010"/>
    <cellStyle name="40% - Accent3 137" xfId="3011"/>
    <cellStyle name="40% - Accent3 137 2" xfId="3012"/>
    <cellStyle name="40% - Accent3 138" xfId="3013"/>
    <cellStyle name="40% - Accent3 138 2" xfId="3014"/>
    <cellStyle name="40% - Accent3 139" xfId="3015"/>
    <cellStyle name="40% - Accent3 139 2" xfId="3016"/>
    <cellStyle name="40% - Accent3 14" xfId="3017"/>
    <cellStyle name="40% - Accent3 14 2" xfId="3018"/>
    <cellStyle name="40% - Accent3 14 3" xfId="3019"/>
    <cellStyle name="40% - Accent3 140" xfId="3020"/>
    <cellStyle name="40% - Accent3 140 2" xfId="3021"/>
    <cellStyle name="40% - Accent3 141" xfId="3022"/>
    <cellStyle name="40% - Accent3 141 2" xfId="3023"/>
    <cellStyle name="40% - Accent3 142" xfId="3024"/>
    <cellStyle name="40% - Accent3 142 2" xfId="3025"/>
    <cellStyle name="40% - Accent3 143" xfId="3026"/>
    <cellStyle name="40% - Accent3 143 2" xfId="3027"/>
    <cellStyle name="40% - Accent3 144" xfId="3028"/>
    <cellStyle name="40% - Accent3 144 2" xfId="3029"/>
    <cellStyle name="40% - Accent3 145" xfId="3030"/>
    <cellStyle name="40% - Accent3 145 2" xfId="3031"/>
    <cellStyle name="40% - Accent3 146" xfId="3032"/>
    <cellStyle name="40% - Accent3 146 2" xfId="3033"/>
    <cellStyle name="40% - Accent3 147" xfId="3034"/>
    <cellStyle name="40% - Accent3 147 2" xfId="3035"/>
    <cellStyle name="40% - Accent3 148" xfId="3036"/>
    <cellStyle name="40% - Accent3 148 2" xfId="3037"/>
    <cellStyle name="40% - Accent3 149" xfId="3038"/>
    <cellStyle name="40% - Accent3 149 2" xfId="3039"/>
    <cellStyle name="40% - Accent3 15" xfId="3040"/>
    <cellStyle name="40% - Accent3 15 2" xfId="3041"/>
    <cellStyle name="40% - Accent3 15 3" xfId="3042"/>
    <cellStyle name="40% - Accent3 150" xfId="3043"/>
    <cellStyle name="40% - Accent3 150 2" xfId="3044"/>
    <cellStyle name="40% - Accent3 151" xfId="3045"/>
    <cellStyle name="40% - Accent3 151 2" xfId="3046"/>
    <cellStyle name="40% - Accent3 152" xfId="3047"/>
    <cellStyle name="40% - Accent3 152 2" xfId="3048"/>
    <cellStyle name="40% - Accent3 153" xfId="3049"/>
    <cellStyle name="40% - Accent3 153 2" xfId="3050"/>
    <cellStyle name="40% - Accent3 154" xfId="3051"/>
    <cellStyle name="40% - Accent3 154 2" xfId="3052"/>
    <cellStyle name="40% - Accent3 155" xfId="3053"/>
    <cellStyle name="40% - Accent3 155 2" xfId="3054"/>
    <cellStyle name="40% - Accent3 156" xfId="3055"/>
    <cellStyle name="40% - Accent3 156 2" xfId="3056"/>
    <cellStyle name="40% - Accent3 157" xfId="3057"/>
    <cellStyle name="40% - Accent3 157 2" xfId="3058"/>
    <cellStyle name="40% - Accent3 158" xfId="3059"/>
    <cellStyle name="40% - Accent3 158 2" xfId="3060"/>
    <cellStyle name="40% - Accent3 159" xfId="3061"/>
    <cellStyle name="40% - Accent3 159 2" xfId="3062"/>
    <cellStyle name="40% - Accent3 16" xfId="3063"/>
    <cellStyle name="40% - Accent3 16 2" xfId="3064"/>
    <cellStyle name="40% - Accent3 16 3" xfId="3065"/>
    <cellStyle name="40% - Accent3 160" xfId="3066"/>
    <cellStyle name="40% - Accent3 160 2" xfId="3067"/>
    <cellStyle name="40% - Accent3 161" xfId="3068"/>
    <cellStyle name="40% - Accent3 161 2" xfId="3069"/>
    <cellStyle name="40% - Accent3 162" xfId="3070"/>
    <cellStyle name="40% - Accent3 162 2" xfId="3071"/>
    <cellStyle name="40% - Accent3 163" xfId="3072"/>
    <cellStyle name="40% - Accent3 163 2" xfId="3073"/>
    <cellStyle name="40% - Accent3 164" xfId="3074"/>
    <cellStyle name="40% - Accent3 164 2" xfId="3075"/>
    <cellStyle name="40% - Accent3 165" xfId="3076"/>
    <cellStyle name="40% - Accent3 165 2" xfId="3077"/>
    <cellStyle name="40% - Accent3 166" xfId="3078"/>
    <cellStyle name="40% - Accent3 166 2" xfId="3079"/>
    <cellStyle name="40% - Accent3 167" xfId="3080"/>
    <cellStyle name="40% - Accent3 167 2" xfId="3081"/>
    <cellStyle name="40% - Accent3 168" xfId="3082"/>
    <cellStyle name="40% - Accent3 168 2" xfId="3083"/>
    <cellStyle name="40% - Accent3 169" xfId="3084"/>
    <cellStyle name="40% - Accent3 169 2" xfId="3085"/>
    <cellStyle name="40% - Accent3 17" xfId="3086"/>
    <cellStyle name="40% - Accent3 17 2" xfId="3087"/>
    <cellStyle name="40% - Accent3 17 3" xfId="3088"/>
    <cellStyle name="40% - Accent3 170" xfId="3089"/>
    <cellStyle name="40% - Accent3 170 2" xfId="3090"/>
    <cellStyle name="40% - Accent3 171" xfId="3091"/>
    <cellStyle name="40% - Accent3 171 2" xfId="3092"/>
    <cellStyle name="40% - Accent3 172" xfId="3093"/>
    <cellStyle name="40% - Accent3 172 2" xfId="3094"/>
    <cellStyle name="40% - Accent3 173" xfId="3095"/>
    <cellStyle name="40% - Accent3 173 2" xfId="3096"/>
    <cellStyle name="40% - Accent3 174" xfId="3097"/>
    <cellStyle name="40% - Accent3 174 2" xfId="3098"/>
    <cellStyle name="40% - Accent3 175" xfId="3099"/>
    <cellStyle name="40% - Accent3 175 2" xfId="3100"/>
    <cellStyle name="40% - Accent3 176" xfId="3101"/>
    <cellStyle name="40% - Accent3 176 2" xfId="3102"/>
    <cellStyle name="40% - Accent3 177" xfId="3103"/>
    <cellStyle name="40% - Accent3 177 2" xfId="3104"/>
    <cellStyle name="40% - Accent3 18" xfId="3105"/>
    <cellStyle name="40% - Accent3 18 2" xfId="3106"/>
    <cellStyle name="40% - Accent3 18 3" xfId="3107"/>
    <cellStyle name="40% - Accent3 19" xfId="3108"/>
    <cellStyle name="40% - Accent3 19 2" xfId="3109"/>
    <cellStyle name="40% - Accent3 19 3" xfId="3110"/>
    <cellStyle name="40% - Accent3 2" xfId="3111"/>
    <cellStyle name="40% - Accent3 2 2" xfId="3112"/>
    <cellStyle name="40% - Accent3 2 3" xfId="3113"/>
    <cellStyle name="40% - Accent3 2 4" xfId="3114"/>
    <cellStyle name="40% - Accent3 20" xfId="3115"/>
    <cellStyle name="40% - Accent3 20 2" xfId="3116"/>
    <cellStyle name="40% - Accent3 20 3" xfId="3117"/>
    <cellStyle name="40% - Accent3 21" xfId="3118"/>
    <cellStyle name="40% - Accent3 21 2" xfId="3119"/>
    <cellStyle name="40% - Accent3 21 3" xfId="3120"/>
    <cellStyle name="40% - Accent3 22" xfId="3121"/>
    <cellStyle name="40% - Accent3 22 2" xfId="3122"/>
    <cellStyle name="40% - Accent3 22 3" xfId="3123"/>
    <cellStyle name="40% - Accent3 23" xfId="3124"/>
    <cellStyle name="40% - Accent3 23 2" xfId="3125"/>
    <cellStyle name="40% - Accent3 23 3" xfId="3126"/>
    <cellStyle name="40% - Accent3 24" xfId="3127"/>
    <cellStyle name="40% - Accent3 24 2" xfId="3128"/>
    <cellStyle name="40% - Accent3 24 3" xfId="3129"/>
    <cellStyle name="40% - Accent3 25" xfId="3130"/>
    <cellStyle name="40% - Accent3 25 2" xfId="3131"/>
    <cellStyle name="40% - Accent3 25 3" xfId="3132"/>
    <cellStyle name="40% - Accent3 26" xfId="3133"/>
    <cellStyle name="40% - Accent3 26 2" xfId="3134"/>
    <cellStyle name="40% - Accent3 26 3" xfId="3135"/>
    <cellStyle name="40% - Accent3 27" xfId="3136"/>
    <cellStyle name="40% - Accent3 27 2" xfId="3137"/>
    <cellStyle name="40% - Accent3 27 3" xfId="3138"/>
    <cellStyle name="40% - Accent3 28" xfId="3139"/>
    <cellStyle name="40% - Accent3 28 2" xfId="3140"/>
    <cellStyle name="40% - Accent3 28 3" xfId="3141"/>
    <cellStyle name="40% - Accent3 29" xfId="3142"/>
    <cellStyle name="40% - Accent3 29 2" xfId="3143"/>
    <cellStyle name="40% - Accent3 29 3" xfId="3144"/>
    <cellStyle name="40% - Accent3 3" xfId="3145"/>
    <cellStyle name="40% - Accent3 3 2" xfId="3146"/>
    <cellStyle name="40% - Accent3 3 3" xfId="3147"/>
    <cellStyle name="40% - Accent3 30" xfId="3148"/>
    <cellStyle name="40% - Accent3 30 2" xfId="3149"/>
    <cellStyle name="40% - Accent3 30 3" xfId="3150"/>
    <cellStyle name="40% - Accent3 31" xfId="3151"/>
    <cellStyle name="40% - Accent3 31 2" xfId="3152"/>
    <cellStyle name="40% - Accent3 31 3" xfId="3153"/>
    <cellStyle name="40% - Accent3 32" xfId="3154"/>
    <cellStyle name="40% - Accent3 32 2" xfId="3155"/>
    <cellStyle name="40% - Accent3 32 3" xfId="3156"/>
    <cellStyle name="40% - Accent3 33" xfId="3157"/>
    <cellStyle name="40% - Accent3 33 2" xfId="3158"/>
    <cellStyle name="40% - Accent3 33 3" xfId="3159"/>
    <cellStyle name="40% - Accent3 34" xfId="3160"/>
    <cellStyle name="40% - Accent3 34 2" xfId="3161"/>
    <cellStyle name="40% - Accent3 34 3" xfId="3162"/>
    <cellStyle name="40% - Accent3 35" xfId="3163"/>
    <cellStyle name="40% - Accent3 35 2" xfId="3164"/>
    <cellStyle name="40% - Accent3 35 3" xfId="3165"/>
    <cellStyle name="40% - Accent3 36" xfId="3166"/>
    <cellStyle name="40% - Accent3 36 2" xfId="3167"/>
    <cellStyle name="40% - Accent3 36 3" xfId="3168"/>
    <cellStyle name="40% - Accent3 37" xfId="3169"/>
    <cellStyle name="40% - Accent3 37 2" xfId="3170"/>
    <cellStyle name="40% - Accent3 37 3" xfId="3171"/>
    <cellStyle name="40% - Accent3 38" xfId="3172"/>
    <cellStyle name="40% - Accent3 38 2" xfId="3173"/>
    <cellStyle name="40% - Accent3 38 3" xfId="3174"/>
    <cellStyle name="40% - Accent3 39" xfId="3175"/>
    <cellStyle name="40% - Accent3 39 2" xfId="3176"/>
    <cellStyle name="40% - Accent3 39 3" xfId="3177"/>
    <cellStyle name="40% - Accent3 4" xfId="3178"/>
    <cellStyle name="40% - Accent3 4 2" xfId="3179"/>
    <cellStyle name="40% - Accent3 4 3" xfId="3180"/>
    <cellStyle name="40% - Accent3 40" xfId="3181"/>
    <cellStyle name="40% - Accent3 40 2" xfId="3182"/>
    <cellStyle name="40% - Accent3 40 3" xfId="3183"/>
    <cellStyle name="40% - Accent3 41" xfId="3184"/>
    <cellStyle name="40% - Accent3 41 2" xfId="3185"/>
    <cellStyle name="40% - Accent3 41 3" xfId="3186"/>
    <cellStyle name="40% - Accent3 42" xfId="3187"/>
    <cellStyle name="40% - Accent3 42 2" xfId="3188"/>
    <cellStyle name="40% - Accent3 42 3" xfId="3189"/>
    <cellStyle name="40% - Accent3 43" xfId="3190"/>
    <cellStyle name="40% - Accent3 43 2" xfId="3191"/>
    <cellStyle name="40% - Accent3 43 3" xfId="3192"/>
    <cellStyle name="40% - Accent3 44" xfId="3193"/>
    <cellStyle name="40% - Accent3 44 2" xfId="3194"/>
    <cellStyle name="40% - Accent3 44 3" xfId="3195"/>
    <cellStyle name="40% - Accent3 45" xfId="3196"/>
    <cellStyle name="40% - Accent3 45 2" xfId="3197"/>
    <cellStyle name="40% - Accent3 45 3" xfId="3198"/>
    <cellStyle name="40% - Accent3 46" xfId="3199"/>
    <cellStyle name="40% - Accent3 46 2" xfId="3200"/>
    <cellStyle name="40% - Accent3 46 3" xfId="3201"/>
    <cellStyle name="40% - Accent3 47" xfId="3202"/>
    <cellStyle name="40% - Accent3 47 2" xfId="3203"/>
    <cellStyle name="40% - Accent3 47 3" xfId="3204"/>
    <cellStyle name="40% - Accent3 48" xfId="3205"/>
    <cellStyle name="40% - Accent3 48 2" xfId="3206"/>
    <cellStyle name="40% - Accent3 48 3" xfId="3207"/>
    <cellStyle name="40% - Accent3 49" xfId="3208"/>
    <cellStyle name="40% - Accent3 49 2" xfId="3209"/>
    <cellStyle name="40% - Accent3 49 3" xfId="3210"/>
    <cellStyle name="40% - Accent3 5" xfId="3211"/>
    <cellStyle name="40% - Accent3 5 2" xfId="3212"/>
    <cellStyle name="40% - Accent3 5 3" xfId="3213"/>
    <cellStyle name="40% - Accent3 50" xfId="3214"/>
    <cellStyle name="40% - Accent3 50 2" xfId="3215"/>
    <cellStyle name="40% - Accent3 50 3" xfId="3216"/>
    <cellStyle name="40% - Accent3 51" xfId="3217"/>
    <cellStyle name="40% - Accent3 51 2" xfId="3218"/>
    <cellStyle name="40% - Accent3 51 3" xfId="3219"/>
    <cellStyle name="40% - Accent3 52" xfId="3220"/>
    <cellStyle name="40% - Accent3 52 2" xfId="3221"/>
    <cellStyle name="40% - Accent3 52 3" xfId="3222"/>
    <cellStyle name="40% - Accent3 53" xfId="3223"/>
    <cellStyle name="40% - Accent3 53 2" xfId="3224"/>
    <cellStyle name="40% - Accent3 53 3" xfId="3225"/>
    <cellStyle name="40% - Accent3 54" xfId="3226"/>
    <cellStyle name="40% - Accent3 54 2" xfId="3227"/>
    <cellStyle name="40% - Accent3 54 3" xfId="3228"/>
    <cellStyle name="40% - Accent3 55" xfId="3229"/>
    <cellStyle name="40% - Accent3 55 2" xfId="3230"/>
    <cellStyle name="40% - Accent3 55 3" xfId="3231"/>
    <cellStyle name="40% - Accent3 56" xfId="3232"/>
    <cellStyle name="40% - Accent3 56 2" xfId="3233"/>
    <cellStyle name="40% - Accent3 56 3" xfId="3234"/>
    <cellStyle name="40% - Accent3 57" xfId="3235"/>
    <cellStyle name="40% - Accent3 57 2" xfId="3236"/>
    <cellStyle name="40% - Accent3 57 3" xfId="3237"/>
    <cellStyle name="40% - Accent3 58" xfId="3238"/>
    <cellStyle name="40% - Accent3 58 2" xfId="3239"/>
    <cellStyle name="40% - Accent3 58 3" xfId="3240"/>
    <cellStyle name="40% - Accent3 59" xfId="3241"/>
    <cellStyle name="40% - Accent3 59 2" xfId="3242"/>
    <cellStyle name="40% - Accent3 59 3" xfId="3243"/>
    <cellStyle name="40% - Accent3 6" xfId="3244"/>
    <cellStyle name="40% - Accent3 6 2" xfId="3245"/>
    <cellStyle name="40% - Accent3 6 3" xfId="3246"/>
    <cellStyle name="40% - Accent3 60" xfId="3247"/>
    <cellStyle name="40% - Accent3 60 2" xfId="3248"/>
    <cellStyle name="40% - Accent3 60 3" xfId="3249"/>
    <cellStyle name="40% - Accent3 61" xfId="3250"/>
    <cellStyle name="40% - Accent3 61 2" xfId="3251"/>
    <cellStyle name="40% - Accent3 61 3" xfId="3252"/>
    <cellStyle name="40% - Accent3 62" xfId="3253"/>
    <cellStyle name="40% - Accent3 62 2" xfId="3254"/>
    <cellStyle name="40% - Accent3 62 3" xfId="3255"/>
    <cellStyle name="40% - Accent3 63" xfId="3256"/>
    <cellStyle name="40% - Accent3 63 2" xfId="3257"/>
    <cellStyle name="40% - Accent3 63 3" xfId="3258"/>
    <cellStyle name="40% - Accent3 64" xfId="3259"/>
    <cellStyle name="40% - Accent3 64 2" xfId="3260"/>
    <cellStyle name="40% - Accent3 64 3" xfId="3261"/>
    <cellStyle name="40% - Accent3 65" xfId="3262"/>
    <cellStyle name="40% - Accent3 65 2" xfId="3263"/>
    <cellStyle name="40% - Accent3 65 3" xfId="3264"/>
    <cellStyle name="40% - Accent3 66" xfId="3265"/>
    <cellStyle name="40% - Accent3 66 2" xfId="3266"/>
    <cellStyle name="40% - Accent3 66 3" xfId="3267"/>
    <cellStyle name="40% - Accent3 67" xfId="3268"/>
    <cellStyle name="40% - Accent3 67 2" xfId="3269"/>
    <cellStyle name="40% - Accent3 67 3" xfId="3270"/>
    <cellStyle name="40% - Accent3 68" xfId="3271"/>
    <cellStyle name="40% - Accent3 68 2" xfId="3272"/>
    <cellStyle name="40% - Accent3 68 3" xfId="3273"/>
    <cellStyle name="40% - Accent3 69" xfId="3274"/>
    <cellStyle name="40% - Accent3 69 2" xfId="3275"/>
    <cellStyle name="40% - Accent3 69 3" xfId="3276"/>
    <cellStyle name="40% - Accent3 7" xfId="3277"/>
    <cellStyle name="40% - Accent3 7 2" xfId="3278"/>
    <cellStyle name="40% - Accent3 7 3" xfId="3279"/>
    <cellStyle name="40% - Accent3 70" xfId="3280"/>
    <cellStyle name="40% - Accent3 70 2" xfId="3281"/>
    <cellStyle name="40% - Accent3 70 3" xfId="3282"/>
    <cellStyle name="40% - Accent3 71" xfId="3283"/>
    <cellStyle name="40% - Accent3 71 2" xfId="3284"/>
    <cellStyle name="40% - Accent3 71 3" xfId="3285"/>
    <cellStyle name="40% - Accent3 72" xfId="3286"/>
    <cellStyle name="40% - Accent3 72 2" xfId="3287"/>
    <cellStyle name="40% - Accent3 73" xfId="3288"/>
    <cellStyle name="40% - Accent3 73 2" xfId="3289"/>
    <cellStyle name="40% - Accent3 74" xfId="3290"/>
    <cellStyle name="40% - Accent3 74 2" xfId="3291"/>
    <cellStyle name="40% - Accent3 75" xfId="3292"/>
    <cellStyle name="40% - Accent3 75 2" xfId="3293"/>
    <cellStyle name="40% - Accent3 76" xfId="3294"/>
    <cellStyle name="40% - Accent3 76 2" xfId="3295"/>
    <cellStyle name="40% - Accent3 77" xfId="3296"/>
    <cellStyle name="40% - Accent3 77 2" xfId="3297"/>
    <cellStyle name="40% - Accent3 78" xfId="3298"/>
    <cellStyle name="40% - Accent3 78 2" xfId="3299"/>
    <cellStyle name="40% - Accent3 79" xfId="3300"/>
    <cellStyle name="40% - Accent3 79 2" xfId="3301"/>
    <cellStyle name="40% - Accent3 8" xfId="3302"/>
    <cellStyle name="40% - Accent3 8 2" xfId="3303"/>
    <cellStyle name="40% - Accent3 8 3" xfId="3304"/>
    <cellStyle name="40% - Accent3 80" xfId="3305"/>
    <cellStyle name="40% - Accent3 80 2" xfId="3306"/>
    <cellStyle name="40% - Accent3 81" xfId="3307"/>
    <cellStyle name="40% - Accent3 81 2" xfId="3308"/>
    <cellStyle name="40% - Accent3 82" xfId="3309"/>
    <cellStyle name="40% - Accent3 82 2" xfId="3310"/>
    <cellStyle name="40% - Accent3 83" xfId="3311"/>
    <cellStyle name="40% - Accent3 83 2" xfId="3312"/>
    <cellStyle name="40% - Accent3 84" xfId="3313"/>
    <cellStyle name="40% - Accent3 84 2" xfId="3314"/>
    <cellStyle name="40% - Accent3 85" xfId="3315"/>
    <cellStyle name="40% - Accent3 85 2" xfId="3316"/>
    <cellStyle name="40% - Accent3 86" xfId="3317"/>
    <cellStyle name="40% - Accent3 86 2" xfId="3318"/>
    <cellStyle name="40% - Accent3 87" xfId="3319"/>
    <cellStyle name="40% - Accent3 87 2" xfId="3320"/>
    <cellStyle name="40% - Accent3 88" xfId="3321"/>
    <cellStyle name="40% - Accent3 88 2" xfId="3322"/>
    <cellStyle name="40% - Accent3 89" xfId="3323"/>
    <cellStyle name="40% - Accent3 89 2" xfId="3324"/>
    <cellStyle name="40% - Accent3 9" xfId="3325"/>
    <cellStyle name="40% - Accent3 9 2" xfId="3326"/>
    <cellStyle name="40% - Accent3 9 3" xfId="3327"/>
    <cellStyle name="40% - Accent3 90" xfId="3328"/>
    <cellStyle name="40% - Accent3 90 2" xfId="3329"/>
    <cellStyle name="40% - Accent3 91" xfId="3330"/>
    <cellStyle name="40% - Accent3 91 2" xfId="3331"/>
    <cellStyle name="40% - Accent3 92" xfId="3332"/>
    <cellStyle name="40% - Accent3 92 2" xfId="3333"/>
    <cellStyle name="40% - Accent3 93" xfId="3334"/>
    <cellStyle name="40% - Accent3 93 2" xfId="3335"/>
    <cellStyle name="40% - Accent3 94" xfId="3336"/>
    <cellStyle name="40% - Accent3 94 2" xfId="3337"/>
    <cellStyle name="40% - Accent3 95" xfId="3338"/>
    <cellStyle name="40% - Accent3 95 2" xfId="3339"/>
    <cellStyle name="40% - Accent3 96" xfId="3340"/>
    <cellStyle name="40% - Accent3 96 2" xfId="3341"/>
    <cellStyle name="40% - Accent3 97" xfId="3342"/>
    <cellStyle name="40% - Accent3 97 2" xfId="3343"/>
    <cellStyle name="40% - Accent3 98" xfId="3344"/>
    <cellStyle name="40% - Accent3 98 2" xfId="3345"/>
    <cellStyle name="40% - Accent3 99" xfId="3346"/>
    <cellStyle name="40% - Accent3 99 2" xfId="3347"/>
    <cellStyle name="40% - Accent4 10" xfId="3348"/>
    <cellStyle name="40% - Accent4 10 2" xfId="3349"/>
    <cellStyle name="40% - Accent4 10 3" xfId="3350"/>
    <cellStyle name="40% - Accent4 100" xfId="3351"/>
    <cellStyle name="40% - Accent4 100 2" xfId="3352"/>
    <cellStyle name="40% - Accent4 101" xfId="3353"/>
    <cellStyle name="40% - Accent4 101 2" xfId="3354"/>
    <cellStyle name="40% - Accent4 102" xfId="3355"/>
    <cellStyle name="40% - Accent4 102 2" xfId="3356"/>
    <cellStyle name="40% - Accent4 103" xfId="3357"/>
    <cellStyle name="40% - Accent4 103 2" xfId="3358"/>
    <cellStyle name="40% - Accent4 104" xfId="3359"/>
    <cellStyle name="40% - Accent4 104 2" xfId="3360"/>
    <cellStyle name="40% - Accent4 105" xfId="3361"/>
    <cellStyle name="40% - Accent4 105 2" xfId="3362"/>
    <cellStyle name="40% - Accent4 106" xfId="3363"/>
    <cellStyle name="40% - Accent4 106 2" xfId="3364"/>
    <cellStyle name="40% - Accent4 107" xfId="3365"/>
    <cellStyle name="40% - Accent4 107 2" xfId="3366"/>
    <cellStyle name="40% - Accent4 108" xfId="3367"/>
    <cellStyle name="40% - Accent4 108 2" xfId="3368"/>
    <cellStyle name="40% - Accent4 109" xfId="3369"/>
    <cellStyle name="40% - Accent4 109 2" xfId="3370"/>
    <cellStyle name="40% - Accent4 11" xfId="3371"/>
    <cellStyle name="40% - Accent4 11 2" xfId="3372"/>
    <cellStyle name="40% - Accent4 11 3" xfId="3373"/>
    <cellStyle name="40% - Accent4 110" xfId="3374"/>
    <cellStyle name="40% - Accent4 110 2" xfId="3375"/>
    <cellStyle name="40% - Accent4 111" xfId="3376"/>
    <cellStyle name="40% - Accent4 111 2" xfId="3377"/>
    <cellStyle name="40% - Accent4 112" xfId="3378"/>
    <cellStyle name="40% - Accent4 112 2" xfId="3379"/>
    <cellStyle name="40% - Accent4 113" xfId="3380"/>
    <cellStyle name="40% - Accent4 113 2" xfId="3381"/>
    <cellStyle name="40% - Accent4 114" xfId="3382"/>
    <cellStyle name="40% - Accent4 114 2" xfId="3383"/>
    <cellStyle name="40% - Accent4 115" xfId="3384"/>
    <cellStyle name="40% - Accent4 115 2" xfId="3385"/>
    <cellStyle name="40% - Accent4 116" xfId="3386"/>
    <cellStyle name="40% - Accent4 116 2" xfId="3387"/>
    <cellStyle name="40% - Accent4 117" xfId="3388"/>
    <cellStyle name="40% - Accent4 117 2" xfId="3389"/>
    <cellStyle name="40% - Accent4 118" xfId="3390"/>
    <cellStyle name="40% - Accent4 118 2" xfId="3391"/>
    <cellStyle name="40% - Accent4 119" xfId="3392"/>
    <cellStyle name="40% - Accent4 119 2" xfId="3393"/>
    <cellStyle name="40% - Accent4 12" xfId="3394"/>
    <cellStyle name="40% - Accent4 12 2" xfId="3395"/>
    <cellStyle name="40% - Accent4 12 3" xfId="3396"/>
    <cellStyle name="40% - Accent4 120" xfId="3397"/>
    <cellStyle name="40% - Accent4 120 2" xfId="3398"/>
    <cellStyle name="40% - Accent4 121" xfId="3399"/>
    <cellStyle name="40% - Accent4 121 2" xfId="3400"/>
    <cellStyle name="40% - Accent4 122" xfId="3401"/>
    <cellStyle name="40% - Accent4 122 2" xfId="3402"/>
    <cellStyle name="40% - Accent4 123" xfId="3403"/>
    <cellStyle name="40% - Accent4 123 2" xfId="3404"/>
    <cellStyle name="40% - Accent4 124" xfId="3405"/>
    <cellStyle name="40% - Accent4 124 2" xfId="3406"/>
    <cellStyle name="40% - Accent4 125" xfId="3407"/>
    <cellStyle name="40% - Accent4 125 2" xfId="3408"/>
    <cellStyle name="40% - Accent4 126" xfId="3409"/>
    <cellStyle name="40% - Accent4 126 2" xfId="3410"/>
    <cellStyle name="40% - Accent4 127" xfId="3411"/>
    <cellStyle name="40% - Accent4 127 2" xfId="3412"/>
    <cellStyle name="40% - Accent4 128" xfId="3413"/>
    <cellStyle name="40% - Accent4 128 2" xfId="3414"/>
    <cellStyle name="40% - Accent4 129" xfId="3415"/>
    <cellStyle name="40% - Accent4 129 2" xfId="3416"/>
    <cellStyle name="40% - Accent4 13" xfId="3417"/>
    <cellStyle name="40% - Accent4 13 2" xfId="3418"/>
    <cellStyle name="40% - Accent4 13 3" xfId="3419"/>
    <cellStyle name="40% - Accent4 130" xfId="3420"/>
    <cellStyle name="40% - Accent4 130 2" xfId="3421"/>
    <cellStyle name="40% - Accent4 131" xfId="3422"/>
    <cellStyle name="40% - Accent4 131 2" xfId="3423"/>
    <cellStyle name="40% - Accent4 132" xfId="3424"/>
    <cellStyle name="40% - Accent4 132 2" xfId="3425"/>
    <cellStyle name="40% - Accent4 133" xfId="3426"/>
    <cellStyle name="40% - Accent4 133 2" xfId="3427"/>
    <cellStyle name="40% - Accent4 134" xfId="3428"/>
    <cellStyle name="40% - Accent4 134 2" xfId="3429"/>
    <cellStyle name="40% - Accent4 135" xfId="3430"/>
    <cellStyle name="40% - Accent4 135 2" xfId="3431"/>
    <cellStyle name="40% - Accent4 136" xfId="3432"/>
    <cellStyle name="40% - Accent4 136 2" xfId="3433"/>
    <cellStyle name="40% - Accent4 137" xfId="3434"/>
    <cellStyle name="40% - Accent4 137 2" xfId="3435"/>
    <cellStyle name="40% - Accent4 138" xfId="3436"/>
    <cellStyle name="40% - Accent4 138 2" xfId="3437"/>
    <cellStyle name="40% - Accent4 139" xfId="3438"/>
    <cellStyle name="40% - Accent4 139 2" xfId="3439"/>
    <cellStyle name="40% - Accent4 14" xfId="3440"/>
    <cellStyle name="40% - Accent4 14 2" xfId="3441"/>
    <cellStyle name="40% - Accent4 14 3" xfId="3442"/>
    <cellStyle name="40% - Accent4 140" xfId="3443"/>
    <cellStyle name="40% - Accent4 140 2" xfId="3444"/>
    <cellStyle name="40% - Accent4 141" xfId="3445"/>
    <cellStyle name="40% - Accent4 141 2" xfId="3446"/>
    <cellStyle name="40% - Accent4 142" xfId="3447"/>
    <cellStyle name="40% - Accent4 142 2" xfId="3448"/>
    <cellStyle name="40% - Accent4 143" xfId="3449"/>
    <cellStyle name="40% - Accent4 143 2" xfId="3450"/>
    <cellStyle name="40% - Accent4 144" xfId="3451"/>
    <cellStyle name="40% - Accent4 144 2" xfId="3452"/>
    <cellStyle name="40% - Accent4 145" xfId="3453"/>
    <cellStyle name="40% - Accent4 145 2" xfId="3454"/>
    <cellStyle name="40% - Accent4 146" xfId="3455"/>
    <cellStyle name="40% - Accent4 146 2" xfId="3456"/>
    <cellStyle name="40% - Accent4 147" xfId="3457"/>
    <cellStyle name="40% - Accent4 147 2" xfId="3458"/>
    <cellStyle name="40% - Accent4 148" xfId="3459"/>
    <cellStyle name="40% - Accent4 148 2" xfId="3460"/>
    <cellStyle name="40% - Accent4 149" xfId="3461"/>
    <cellStyle name="40% - Accent4 149 2" xfId="3462"/>
    <cellStyle name="40% - Accent4 15" xfId="3463"/>
    <cellStyle name="40% - Accent4 15 2" xfId="3464"/>
    <cellStyle name="40% - Accent4 15 3" xfId="3465"/>
    <cellStyle name="40% - Accent4 150" xfId="3466"/>
    <cellStyle name="40% - Accent4 150 2" xfId="3467"/>
    <cellStyle name="40% - Accent4 151" xfId="3468"/>
    <cellStyle name="40% - Accent4 151 2" xfId="3469"/>
    <cellStyle name="40% - Accent4 152" xfId="3470"/>
    <cellStyle name="40% - Accent4 152 2" xfId="3471"/>
    <cellStyle name="40% - Accent4 153" xfId="3472"/>
    <cellStyle name="40% - Accent4 153 2" xfId="3473"/>
    <cellStyle name="40% - Accent4 154" xfId="3474"/>
    <cellStyle name="40% - Accent4 154 2" xfId="3475"/>
    <cellStyle name="40% - Accent4 155" xfId="3476"/>
    <cellStyle name="40% - Accent4 155 2" xfId="3477"/>
    <cellStyle name="40% - Accent4 156" xfId="3478"/>
    <cellStyle name="40% - Accent4 156 2" xfId="3479"/>
    <cellStyle name="40% - Accent4 157" xfId="3480"/>
    <cellStyle name="40% - Accent4 157 2" xfId="3481"/>
    <cellStyle name="40% - Accent4 158" xfId="3482"/>
    <cellStyle name="40% - Accent4 158 2" xfId="3483"/>
    <cellStyle name="40% - Accent4 159" xfId="3484"/>
    <cellStyle name="40% - Accent4 159 2" xfId="3485"/>
    <cellStyle name="40% - Accent4 16" xfId="3486"/>
    <cellStyle name="40% - Accent4 16 2" xfId="3487"/>
    <cellStyle name="40% - Accent4 16 3" xfId="3488"/>
    <cellStyle name="40% - Accent4 160" xfId="3489"/>
    <cellStyle name="40% - Accent4 160 2" xfId="3490"/>
    <cellStyle name="40% - Accent4 161" xfId="3491"/>
    <cellStyle name="40% - Accent4 161 2" xfId="3492"/>
    <cellStyle name="40% - Accent4 162" xfId="3493"/>
    <cellStyle name="40% - Accent4 162 2" xfId="3494"/>
    <cellStyle name="40% - Accent4 163" xfId="3495"/>
    <cellStyle name="40% - Accent4 163 2" xfId="3496"/>
    <cellStyle name="40% - Accent4 164" xfId="3497"/>
    <cellStyle name="40% - Accent4 164 2" xfId="3498"/>
    <cellStyle name="40% - Accent4 165" xfId="3499"/>
    <cellStyle name="40% - Accent4 165 2" xfId="3500"/>
    <cellStyle name="40% - Accent4 166" xfId="3501"/>
    <cellStyle name="40% - Accent4 166 2" xfId="3502"/>
    <cellStyle name="40% - Accent4 167" xfId="3503"/>
    <cellStyle name="40% - Accent4 167 2" xfId="3504"/>
    <cellStyle name="40% - Accent4 168" xfId="3505"/>
    <cellStyle name="40% - Accent4 168 2" xfId="3506"/>
    <cellStyle name="40% - Accent4 169" xfId="3507"/>
    <cellStyle name="40% - Accent4 169 2" xfId="3508"/>
    <cellStyle name="40% - Accent4 17" xfId="3509"/>
    <cellStyle name="40% - Accent4 17 2" xfId="3510"/>
    <cellStyle name="40% - Accent4 17 3" xfId="3511"/>
    <cellStyle name="40% - Accent4 170" xfId="3512"/>
    <cellStyle name="40% - Accent4 170 2" xfId="3513"/>
    <cellStyle name="40% - Accent4 171" xfId="3514"/>
    <cellStyle name="40% - Accent4 171 2" xfId="3515"/>
    <cellStyle name="40% - Accent4 172" xfId="3516"/>
    <cellStyle name="40% - Accent4 172 2" xfId="3517"/>
    <cellStyle name="40% - Accent4 173" xfId="3518"/>
    <cellStyle name="40% - Accent4 173 2" xfId="3519"/>
    <cellStyle name="40% - Accent4 174" xfId="3520"/>
    <cellStyle name="40% - Accent4 174 2" xfId="3521"/>
    <cellStyle name="40% - Accent4 175" xfId="3522"/>
    <cellStyle name="40% - Accent4 175 2" xfId="3523"/>
    <cellStyle name="40% - Accent4 176" xfId="3524"/>
    <cellStyle name="40% - Accent4 176 2" xfId="3525"/>
    <cellStyle name="40% - Accent4 177" xfId="3526"/>
    <cellStyle name="40% - Accent4 177 2" xfId="3527"/>
    <cellStyle name="40% - Accent4 18" xfId="3528"/>
    <cellStyle name="40% - Accent4 18 2" xfId="3529"/>
    <cellStyle name="40% - Accent4 18 3" xfId="3530"/>
    <cellStyle name="40% - Accent4 19" xfId="3531"/>
    <cellStyle name="40% - Accent4 19 2" xfId="3532"/>
    <cellStyle name="40% - Accent4 19 3" xfId="3533"/>
    <cellStyle name="40% - Accent4 2" xfId="3534"/>
    <cellStyle name="40% - Accent4 2 2" xfId="3535"/>
    <cellStyle name="40% - Accent4 2 3" xfId="3536"/>
    <cellStyle name="40% - Accent4 2 4" xfId="3537"/>
    <cellStyle name="40% - Accent4 20" xfId="3538"/>
    <cellStyle name="40% - Accent4 20 2" xfId="3539"/>
    <cellStyle name="40% - Accent4 20 3" xfId="3540"/>
    <cellStyle name="40% - Accent4 21" xfId="3541"/>
    <cellStyle name="40% - Accent4 21 2" xfId="3542"/>
    <cellStyle name="40% - Accent4 21 3" xfId="3543"/>
    <cellStyle name="40% - Accent4 22" xfId="3544"/>
    <cellStyle name="40% - Accent4 22 2" xfId="3545"/>
    <cellStyle name="40% - Accent4 22 3" xfId="3546"/>
    <cellStyle name="40% - Accent4 23" xfId="3547"/>
    <cellStyle name="40% - Accent4 23 2" xfId="3548"/>
    <cellStyle name="40% - Accent4 23 3" xfId="3549"/>
    <cellStyle name="40% - Accent4 24" xfId="3550"/>
    <cellStyle name="40% - Accent4 24 2" xfId="3551"/>
    <cellStyle name="40% - Accent4 24 3" xfId="3552"/>
    <cellStyle name="40% - Accent4 25" xfId="3553"/>
    <cellStyle name="40% - Accent4 25 2" xfId="3554"/>
    <cellStyle name="40% - Accent4 25 3" xfId="3555"/>
    <cellStyle name="40% - Accent4 26" xfId="3556"/>
    <cellStyle name="40% - Accent4 26 2" xfId="3557"/>
    <cellStyle name="40% - Accent4 26 3" xfId="3558"/>
    <cellStyle name="40% - Accent4 27" xfId="3559"/>
    <cellStyle name="40% - Accent4 27 2" xfId="3560"/>
    <cellStyle name="40% - Accent4 27 3" xfId="3561"/>
    <cellStyle name="40% - Accent4 28" xfId="3562"/>
    <cellStyle name="40% - Accent4 28 2" xfId="3563"/>
    <cellStyle name="40% - Accent4 28 3" xfId="3564"/>
    <cellStyle name="40% - Accent4 29" xfId="3565"/>
    <cellStyle name="40% - Accent4 29 2" xfId="3566"/>
    <cellStyle name="40% - Accent4 29 3" xfId="3567"/>
    <cellStyle name="40% - Accent4 3" xfId="3568"/>
    <cellStyle name="40% - Accent4 3 2" xfId="3569"/>
    <cellStyle name="40% - Accent4 3 3" xfId="3570"/>
    <cellStyle name="40% - Accent4 30" xfId="3571"/>
    <cellStyle name="40% - Accent4 30 2" xfId="3572"/>
    <cellStyle name="40% - Accent4 30 3" xfId="3573"/>
    <cellStyle name="40% - Accent4 31" xfId="3574"/>
    <cellStyle name="40% - Accent4 31 2" xfId="3575"/>
    <cellStyle name="40% - Accent4 31 3" xfId="3576"/>
    <cellStyle name="40% - Accent4 32" xfId="3577"/>
    <cellStyle name="40% - Accent4 32 2" xfId="3578"/>
    <cellStyle name="40% - Accent4 32 3" xfId="3579"/>
    <cellStyle name="40% - Accent4 33" xfId="3580"/>
    <cellStyle name="40% - Accent4 33 2" xfId="3581"/>
    <cellStyle name="40% - Accent4 33 3" xfId="3582"/>
    <cellStyle name="40% - Accent4 34" xfId="3583"/>
    <cellStyle name="40% - Accent4 34 2" xfId="3584"/>
    <cellStyle name="40% - Accent4 34 3" xfId="3585"/>
    <cellStyle name="40% - Accent4 35" xfId="3586"/>
    <cellStyle name="40% - Accent4 35 2" xfId="3587"/>
    <cellStyle name="40% - Accent4 35 3" xfId="3588"/>
    <cellStyle name="40% - Accent4 36" xfId="3589"/>
    <cellStyle name="40% - Accent4 36 2" xfId="3590"/>
    <cellStyle name="40% - Accent4 36 3" xfId="3591"/>
    <cellStyle name="40% - Accent4 37" xfId="3592"/>
    <cellStyle name="40% - Accent4 37 2" xfId="3593"/>
    <cellStyle name="40% - Accent4 37 3" xfId="3594"/>
    <cellStyle name="40% - Accent4 38" xfId="3595"/>
    <cellStyle name="40% - Accent4 38 2" xfId="3596"/>
    <cellStyle name="40% - Accent4 38 3" xfId="3597"/>
    <cellStyle name="40% - Accent4 39" xfId="3598"/>
    <cellStyle name="40% - Accent4 39 2" xfId="3599"/>
    <cellStyle name="40% - Accent4 39 3" xfId="3600"/>
    <cellStyle name="40% - Accent4 4" xfId="3601"/>
    <cellStyle name="40% - Accent4 4 2" xfId="3602"/>
    <cellStyle name="40% - Accent4 4 3" xfId="3603"/>
    <cellStyle name="40% - Accent4 40" xfId="3604"/>
    <cellStyle name="40% - Accent4 40 2" xfId="3605"/>
    <cellStyle name="40% - Accent4 40 3" xfId="3606"/>
    <cellStyle name="40% - Accent4 41" xfId="3607"/>
    <cellStyle name="40% - Accent4 41 2" xfId="3608"/>
    <cellStyle name="40% - Accent4 41 3" xfId="3609"/>
    <cellStyle name="40% - Accent4 42" xfId="3610"/>
    <cellStyle name="40% - Accent4 42 2" xfId="3611"/>
    <cellStyle name="40% - Accent4 42 3" xfId="3612"/>
    <cellStyle name="40% - Accent4 43" xfId="3613"/>
    <cellStyle name="40% - Accent4 43 2" xfId="3614"/>
    <cellStyle name="40% - Accent4 43 3" xfId="3615"/>
    <cellStyle name="40% - Accent4 44" xfId="3616"/>
    <cellStyle name="40% - Accent4 44 2" xfId="3617"/>
    <cellStyle name="40% - Accent4 44 3" xfId="3618"/>
    <cellStyle name="40% - Accent4 45" xfId="3619"/>
    <cellStyle name="40% - Accent4 45 2" xfId="3620"/>
    <cellStyle name="40% - Accent4 45 3" xfId="3621"/>
    <cellStyle name="40% - Accent4 46" xfId="3622"/>
    <cellStyle name="40% - Accent4 46 2" xfId="3623"/>
    <cellStyle name="40% - Accent4 46 3" xfId="3624"/>
    <cellStyle name="40% - Accent4 47" xfId="3625"/>
    <cellStyle name="40% - Accent4 47 2" xfId="3626"/>
    <cellStyle name="40% - Accent4 47 3" xfId="3627"/>
    <cellStyle name="40% - Accent4 48" xfId="3628"/>
    <cellStyle name="40% - Accent4 48 2" xfId="3629"/>
    <cellStyle name="40% - Accent4 48 3" xfId="3630"/>
    <cellStyle name="40% - Accent4 49" xfId="3631"/>
    <cellStyle name="40% - Accent4 49 2" xfId="3632"/>
    <cellStyle name="40% - Accent4 49 3" xfId="3633"/>
    <cellStyle name="40% - Accent4 5" xfId="3634"/>
    <cellStyle name="40% - Accent4 5 2" xfId="3635"/>
    <cellStyle name="40% - Accent4 5 3" xfId="3636"/>
    <cellStyle name="40% - Accent4 50" xfId="3637"/>
    <cellStyle name="40% - Accent4 50 2" xfId="3638"/>
    <cellStyle name="40% - Accent4 50 3" xfId="3639"/>
    <cellStyle name="40% - Accent4 51" xfId="3640"/>
    <cellStyle name="40% - Accent4 51 2" xfId="3641"/>
    <cellStyle name="40% - Accent4 51 3" xfId="3642"/>
    <cellStyle name="40% - Accent4 52" xfId="3643"/>
    <cellStyle name="40% - Accent4 52 2" xfId="3644"/>
    <cellStyle name="40% - Accent4 52 3" xfId="3645"/>
    <cellStyle name="40% - Accent4 53" xfId="3646"/>
    <cellStyle name="40% - Accent4 53 2" xfId="3647"/>
    <cellStyle name="40% - Accent4 53 3" xfId="3648"/>
    <cellStyle name="40% - Accent4 54" xfId="3649"/>
    <cellStyle name="40% - Accent4 54 2" xfId="3650"/>
    <cellStyle name="40% - Accent4 54 3" xfId="3651"/>
    <cellStyle name="40% - Accent4 55" xfId="3652"/>
    <cellStyle name="40% - Accent4 55 2" xfId="3653"/>
    <cellStyle name="40% - Accent4 55 3" xfId="3654"/>
    <cellStyle name="40% - Accent4 56" xfId="3655"/>
    <cellStyle name="40% - Accent4 56 2" xfId="3656"/>
    <cellStyle name="40% - Accent4 56 3" xfId="3657"/>
    <cellStyle name="40% - Accent4 57" xfId="3658"/>
    <cellStyle name="40% - Accent4 57 2" xfId="3659"/>
    <cellStyle name="40% - Accent4 57 3" xfId="3660"/>
    <cellStyle name="40% - Accent4 58" xfId="3661"/>
    <cellStyle name="40% - Accent4 58 2" xfId="3662"/>
    <cellStyle name="40% - Accent4 58 3" xfId="3663"/>
    <cellStyle name="40% - Accent4 59" xfId="3664"/>
    <cellStyle name="40% - Accent4 59 2" xfId="3665"/>
    <cellStyle name="40% - Accent4 59 3" xfId="3666"/>
    <cellStyle name="40% - Accent4 6" xfId="3667"/>
    <cellStyle name="40% - Accent4 6 2" xfId="3668"/>
    <cellStyle name="40% - Accent4 6 3" xfId="3669"/>
    <cellStyle name="40% - Accent4 60" xfId="3670"/>
    <cellStyle name="40% - Accent4 60 2" xfId="3671"/>
    <cellStyle name="40% - Accent4 60 3" xfId="3672"/>
    <cellStyle name="40% - Accent4 61" xfId="3673"/>
    <cellStyle name="40% - Accent4 61 2" xfId="3674"/>
    <cellStyle name="40% - Accent4 61 3" xfId="3675"/>
    <cellStyle name="40% - Accent4 62" xfId="3676"/>
    <cellStyle name="40% - Accent4 62 2" xfId="3677"/>
    <cellStyle name="40% - Accent4 62 3" xfId="3678"/>
    <cellStyle name="40% - Accent4 63" xfId="3679"/>
    <cellStyle name="40% - Accent4 63 2" xfId="3680"/>
    <cellStyle name="40% - Accent4 63 3" xfId="3681"/>
    <cellStyle name="40% - Accent4 64" xfId="3682"/>
    <cellStyle name="40% - Accent4 64 2" xfId="3683"/>
    <cellStyle name="40% - Accent4 64 3" xfId="3684"/>
    <cellStyle name="40% - Accent4 65" xfId="3685"/>
    <cellStyle name="40% - Accent4 65 2" xfId="3686"/>
    <cellStyle name="40% - Accent4 65 3" xfId="3687"/>
    <cellStyle name="40% - Accent4 66" xfId="3688"/>
    <cellStyle name="40% - Accent4 66 2" xfId="3689"/>
    <cellStyle name="40% - Accent4 66 3" xfId="3690"/>
    <cellStyle name="40% - Accent4 67" xfId="3691"/>
    <cellStyle name="40% - Accent4 67 2" xfId="3692"/>
    <cellStyle name="40% - Accent4 67 3" xfId="3693"/>
    <cellStyle name="40% - Accent4 68" xfId="3694"/>
    <cellStyle name="40% - Accent4 68 2" xfId="3695"/>
    <cellStyle name="40% - Accent4 68 3" xfId="3696"/>
    <cellStyle name="40% - Accent4 69" xfId="3697"/>
    <cellStyle name="40% - Accent4 69 2" xfId="3698"/>
    <cellStyle name="40% - Accent4 69 3" xfId="3699"/>
    <cellStyle name="40% - Accent4 7" xfId="3700"/>
    <cellStyle name="40% - Accent4 7 2" xfId="3701"/>
    <cellStyle name="40% - Accent4 7 3" xfId="3702"/>
    <cellStyle name="40% - Accent4 70" xfId="3703"/>
    <cellStyle name="40% - Accent4 70 2" xfId="3704"/>
    <cellStyle name="40% - Accent4 70 3" xfId="3705"/>
    <cellStyle name="40% - Accent4 71" xfId="3706"/>
    <cellStyle name="40% - Accent4 71 2" xfId="3707"/>
    <cellStyle name="40% - Accent4 71 3" xfId="3708"/>
    <cellStyle name="40% - Accent4 72" xfId="3709"/>
    <cellStyle name="40% - Accent4 72 2" xfId="3710"/>
    <cellStyle name="40% - Accent4 73" xfId="3711"/>
    <cellStyle name="40% - Accent4 73 2" xfId="3712"/>
    <cellStyle name="40% - Accent4 74" xfId="3713"/>
    <cellStyle name="40% - Accent4 74 2" xfId="3714"/>
    <cellStyle name="40% - Accent4 75" xfId="3715"/>
    <cellStyle name="40% - Accent4 75 2" xfId="3716"/>
    <cellStyle name="40% - Accent4 76" xfId="3717"/>
    <cellStyle name="40% - Accent4 76 2" xfId="3718"/>
    <cellStyle name="40% - Accent4 77" xfId="3719"/>
    <cellStyle name="40% - Accent4 77 2" xfId="3720"/>
    <cellStyle name="40% - Accent4 78" xfId="3721"/>
    <cellStyle name="40% - Accent4 78 2" xfId="3722"/>
    <cellStyle name="40% - Accent4 79" xfId="3723"/>
    <cellStyle name="40% - Accent4 79 2" xfId="3724"/>
    <cellStyle name="40% - Accent4 8" xfId="3725"/>
    <cellStyle name="40% - Accent4 8 2" xfId="3726"/>
    <cellStyle name="40% - Accent4 8 3" xfId="3727"/>
    <cellStyle name="40% - Accent4 80" xfId="3728"/>
    <cellStyle name="40% - Accent4 80 2" xfId="3729"/>
    <cellStyle name="40% - Accent4 81" xfId="3730"/>
    <cellStyle name="40% - Accent4 81 2" xfId="3731"/>
    <cellStyle name="40% - Accent4 82" xfId="3732"/>
    <cellStyle name="40% - Accent4 82 2" xfId="3733"/>
    <cellStyle name="40% - Accent4 83" xfId="3734"/>
    <cellStyle name="40% - Accent4 83 2" xfId="3735"/>
    <cellStyle name="40% - Accent4 84" xfId="3736"/>
    <cellStyle name="40% - Accent4 84 2" xfId="3737"/>
    <cellStyle name="40% - Accent4 85" xfId="3738"/>
    <cellStyle name="40% - Accent4 85 2" xfId="3739"/>
    <cellStyle name="40% - Accent4 86" xfId="3740"/>
    <cellStyle name="40% - Accent4 86 2" xfId="3741"/>
    <cellStyle name="40% - Accent4 87" xfId="3742"/>
    <cellStyle name="40% - Accent4 87 2" xfId="3743"/>
    <cellStyle name="40% - Accent4 88" xfId="3744"/>
    <cellStyle name="40% - Accent4 88 2" xfId="3745"/>
    <cellStyle name="40% - Accent4 89" xfId="3746"/>
    <cellStyle name="40% - Accent4 89 2" xfId="3747"/>
    <cellStyle name="40% - Accent4 9" xfId="3748"/>
    <cellStyle name="40% - Accent4 9 2" xfId="3749"/>
    <cellStyle name="40% - Accent4 9 3" xfId="3750"/>
    <cellStyle name="40% - Accent4 90" xfId="3751"/>
    <cellStyle name="40% - Accent4 90 2" xfId="3752"/>
    <cellStyle name="40% - Accent4 91" xfId="3753"/>
    <cellStyle name="40% - Accent4 91 2" xfId="3754"/>
    <cellStyle name="40% - Accent4 92" xfId="3755"/>
    <cellStyle name="40% - Accent4 92 2" xfId="3756"/>
    <cellStyle name="40% - Accent4 93" xfId="3757"/>
    <cellStyle name="40% - Accent4 93 2" xfId="3758"/>
    <cellStyle name="40% - Accent4 94" xfId="3759"/>
    <cellStyle name="40% - Accent4 94 2" xfId="3760"/>
    <cellStyle name="40% - Accent4 95" xfId="3761"/>
    <cellStyle name="40% - Accent4 95 2" xfId="3762"/>
    <cellStyle name="40% - Accent4 96" xfId="3763"/>
    <cellStyle name="40% - Accent4 96 2" xfId="3764"/>
    <cellStyle name="40% - Accent4 97" xfId="3765"/>
    <cellStyle name="40% - Accent4 97 2" xfId="3766"/>
    <cellStyle name="40% - Accent4 98" xfId="3767"/>
    <cellStyle name="40% - Accent4 98 2" xfId="3768"/>
    <cellStyle name="40% - Accent4 99" xfId="3769"/>
    <cellStyle name="40% - Accent4 99 2" xfId="3770"/>
    <cellStyle name="40% - Accent5 10" xfId="3771"/>
    <cellStyle name="40% - Accent5 10 2" xfId="3772"/>
    <cellStyle name="40% - Accent5 10 3" xfId="3773"/>
    <cellStyle name="40% - Accent5 100" xfId="3774"/>
    <cellStyle name="40% - Accent5 100 2" xfId="3775"/>
    <cellStyle name="40% - Accent5 101" xfId="3776"/>
    <cellStyle name="40% - Accent5 101 2" xfId="3777"/>
    <cellStyle name="40% - Accent5 102" xfId="3778"/>
    <cellStyle name="40% - Accent5 102 2" xfId="3779"/>
    <cellStyle name="40% - Accent5 103" xfId="3780"/>
    <cellStyle name="40% - Accent5 103 2" xfId="3781"/>
    <cellStyle name="40% - Accent5 104" xfId="3782"/>
    <cellStyle name="40% - Accent5 104 2" xfId="3783"/>
    <cellStyle name="40% - Accent5 105" xfId="3784"/>
    <cellStyle name="40% - Accent5 105 2" xfId="3785"/>
    <cellStyle name="40% - Accent5 106" xfId="3786"/>
    <cellStyle name="40% - Accent5 106 2" xfId="3787"/>
    <cellStyle name="40% - Accent5 107" xfId="3788"/>
    <cellStyle name="40% - Accent5 107 2" xfId="3789"/>
    <cellStyle name="40% - Accent5 108" xfId="3790"/>
    <cellStyle name="40% - Accent5 108 2" xfId="3791"/>
    <cellStyle name="40% - Accent5 109" xfId="3792"/>
    <cellStyle name="40% - Accent5 109 2" xfId="3793"/>
    <cellStyle name="40% - Accent5 11" xfId="3794"/>
    <cellStyle name="40% - Accent5 11 2" xfId="3795"/>
    <cellStyle name="40% - Accent5 11 3" xfId="3796"/>
    <cellStyle name="40% - Accent5 110" xfId="3797"/>
    <cellStyle name="40% - Accent5 110 2" xfId="3798"/>
    <cellStyle name="40% - Accent5 111" xfId="3799"/>
    <cellStyle name="40% - Accent5 111 2" xfId="3800"/>
    <cellStyle name="40% - Accent5 112" xfId="3801"/>
    <cellStyle name="40% - Accent5 112 2" xfId="3802"/>
    <cellStyle name="40% - Accent5 113" xfId="3803"/>
    <cellStyle name="40% - Accent5 113 2" xfId="3804"/>
    <cellStyle name="40% - Accent5 114" xfId="3805"/>
    <cellStyle name="40% - Accent5 114 2" xfId="3806"/>
    <cellStyle name="40% - Accent5 115" xfId="3807"/>
    <cellStyle name="40% - Accent5 115 2" xfId="3808"/>
    <cellStyle name="40% - Accent5 116" xfId="3809"/>
    <cellStyle name="40% - Accent5 116 2" xfId="3810"/>
    <cellStyle name="40% - Accent5 117" xfId="3811"/>
    <cellStyle name="40% - Accent5 117 2" xfId="3812"/>
    <cellStyle name="40% - Accent5 118" xfId="3813"/>
    <cellStyle name="40% - Accent5 118 2" xfId="3814"/>
    <cellStyle name="40% - Accent5 119" xfId="3815"/>
    <cellStyle name="40% - Accent5 119 2" xfId="3816"/>
    <cellStyle name="40% - Accent5 12" xfId="3817"/>
    <cellStyle name="40% - Accent5 12 2" xfId="3818"/>
    <cellStyle name="40% - Accent5 12 3" xfId="3819"/>
    <cellStyle name="40% - Accent5 120" xfId="3820"/>
    <cellStyle name="40% - Accent5 120 2" xfId="3821"/>
    <cellStyle name="40% - Accent5 121" xfId="3822"/>
    <cellStyle name="40% - Accent5 121 2" xfId="3823"/>
    <cellStyle name="40% - Accent5 122" xfId="3824"/>
    <cellStyle name="40% - Accent5 122 2" xfId="3825"/>
    <cellStyle name="40% - Accent5 123" xfId="3826"/>
    <cellStyle name="40% - Accent5 123 2" xfId="3827"/>
    <cellStyle name="40% - Accent5 124" xfId="3828"/>
    <cellStyle name="40% - Accent5 124 2" xfId="3829"/>
    <cellStyle name="40% - Accent5 125" xfId="3830"/>
    <cellStyle name="40% - Accent5 125 2" xfId="3831"/>
    <cellStyle name="40% - Accent5 126" xfId="3832"/>
    <cellStyle name="40% - Accent5 126 2" xfId="3833"/>
    <cellStyle name="40% - Accent5 127" xfId="3834"/>
    <cellStyle name="40% - Accent5 127 2" xfId="3835"/>
    <cellStyle name="40% - Accent5 128" xfId="3836"/>
    <cellStyle name="40% - Accent5 128 2" xfId="3837"/>
    <cellStyle name="40% - Accent5 129" xfId="3838"/>
    <cellStyle name="40% - Accent5 129 2" xfId="3839"/>
    <cellStyle name="40% - Accent5 13" xfId="3840"/>
    <cellStyle name="40% - Accent5 13 2" xfId="3841"/>
    <cellStyle name="40% - Accent5 13 3" xfId="3842"/>
    <cellStyle name="40% - Accent5 130" xfId="3843"/>
    <cellStyle name="40% - Accent5 130 2" xfId="3844"/>
    <cellStyle name="40% - Accent5 131" xfId="3845"/>
    <cellStyle name="40% - Accent5 131 2" xfId="3846"/>
    <cellStyle name="40% - Accent5 132" xfId="3847"/>
    <cellStyle name="40% - Accent5 132 2" xfId="3848"/>
    <cellStyle name="40% - Accent5 133" xfId="3849"/>
    <cellStyle name="40% - Accent5 133 2" xfId="3850"/>
    <cellStyle name="40% - Accent5 134" xfId="3851"/>
    <cellStyle name="40% - Accent5 134 2" xfId="3852"/>
    <cellStyle name="40% - Accent5 135" xfId="3853"/>
    <cellStyle name="40% - Accent5 135 2" xfId="3854"/>
    <cellStyle name="40% - Accent5 136" xfId="3855"/>
    <cellStyle name="40% - Accent5 136 2" xfId="3856"/>
    <cellStyle name="40% - Accent5 137" xfId="3857"/>
    <cellStyle name="40% - Accent5 137 2" xfId="3858"/>
    <cellStyle name="40% - Accent5 138" xfId="3859"/>
    <cellStyle name="40% - Accent5 138 2" xfId="3860"/>
    <cellStyle name="40% - Accent5 139" xfId="3861"/>
    <cellStyle name="40% - Accent5 139 2" xfId="3862"/>
    <cellStyle name="40% - Accent5 14" xfId="3863"/>
    <cellStyle name="40% - Accent5 14 2" xfId="3864"/>
    <cellStyle name="40% - Accent5 14 3" xfId="3865"/>
    <cellStyle name="40% - Accent5 140" xfId="3866"/>
    <cellStyle name="40% - Accent5 140 2" xfId="3867"/>
    <cellStyle name="40% - Accent5 141" xfId="3868"/>
    <cellStyle name="40% - Accent5 141 2" xfId="3869"/>
    <cellStyle name="40% - Accent5 142" xfId="3870"/>
    <cellStyle name="40% - Accent5 142 2" xfId="3871"/>
    <cellStyle name="40% - Accent5 143" xfId="3872"/>
    <cellStyle name="40% - Accent5 143 2" xfId="3873"/>
    <cellStyle name="40% - Accent5 144" xfId="3874"/>
    <cellStyle name="40% - Accent5 144 2" xfId="3875"/>
    <cellStyle name="40% - Accent5 145" xfId="3876"/>
    <cellStyle name="40% - Accent5 145 2" xfId="3877"/>
    <cellStyle name="40% - Accent5 146" xfId="3878"/>
    <cellStyle name="40% - Accent5 146 2" xfId="3879"/>
    <cellStyle name="40% - Accent5 147" xfId="3880"/>
    <cellStyle name="40% - Accent5 147 2" xfId="3881"/>
    <cellStyle name="40% - Accent5 148" xfId="3882"/>
    <cellStyle name="40% - Accent5 148 2" xfId="3883"/>
    <cellStyle name="40% - Accent5 149" xfId="3884"/>
    <cellStyle name="40% - Accent5 149 2" xfId="3885"/>
    <cellStyle name="40% - Accent5 15" xfId="3886"/>
    <cellStyle name="40% - Accent5 15 2" xfId="3887"/>
    <cellStyle name="40% - Accent5 15 3" xfId="3888"/>
    <cellStyle name="40% - Accent5 150" xfId="3889"/>
    <cellStyle name="40% - Accent5 150 2" xfId="3890"/>
    <cellStyle name="40% - Accent5 151" xfId="3891"/>
    <cellStyle name="40% - Accent5 151 2" xfId="3892"/>
    <cellStyle name="40% - Accent5 152" xfId="3893"/>
    <cellStyle name="40% - Accent5 152 2" xfId="3894"/>
    <cellStyle name="40% - Accent5 153" xfId="3895"/>
    <cellStyle name="40% - Accent5 153 2" xfId="3896"/>
    <cellStyle name="40% - Accent5 154" xfId="3897"/>
    <cellStyle name="40% - Accent5 154 2" xfId="3898"/>
    <cellStyle name="40% - Accent5 155" xfId="3899"/>
    <cellStyle name="40% - Accent5 155 2" xfId="3900"/>
    <cellStyle name="40% - Accent5 156" xfId="3901"/>
    <cellStyle name="40% - Accent5 156 2" xfId="3902"/>
    <cellStyle name="40% - Accent5 157" xfId="3903"/>
    <cellStyle name="40% - Accent5 157 2" xfId="3904"/>
    <cellStyle name="40% - Accent5 158" xfId="3905"/>
    <cellStyle name="40% - Accent5 158 2" xfId="3906"/>
    <cellStyle name="40% - Accent5 159" xfId="3907"/>
    <cellStyle name="40% - Accent5 159 2" xfId="3908"/>
    <cellStyle name="40% - Accent5 16" xfId="3909"/>
    <cellStyle name="40% - Accent5 16 2" xfId="3910"/>
    <cellStyle name="40% - Accent5 16 3" xfId="3911"/>
    <cellStyle name="40% - Accent5 160" xfId="3912"/>
    <cellStyle name="40% - Accent5 160 2" xfId="3913"/>
    <cellStyle name="40% - Accent5 161" xfId="3914"/>
    <cellStyle name="40% - Accent5 161 2" xfId="3915"/>
    <cellStyle name="40% - Accent5 162" xfId="3916"/>
    <cellStyle name="40% - Accent5 162 2" xfId="3917"/>
    <cellStyle name="40% - Accent5 163" xfId="3918"/>
    <cellStyle name="40% - Accent5 163 2" xfId="3919"/>
    <cellStyle name="40% - Accent5 164" xfId="3920"/>
    <cellStyle name="40% - Accent5 164 2" xfId="3921"/>
    <cellStyle name="40% - Accent5 165" xfId="3922"/>
    <cellStyle name="40% - Accent5 165 2" xfId="3923"/>
    <cellStyle name="40% - Accent5 166" xfId="3924"/>
    <cellStyle name="40% - Accent5 166 2" xfId="3925"/>
    <cellStyle name="40% - Accent5 167" xfId="3926"/>
    <cellStyle name="40% - Accent5 167 2" xfId="3927"/>
    <cellStyle name="40% - Accent5 168" xfId="3928"/>
    <cellStyle name="40% - Accent5 168 2" xfId="3929"/>
    <cellStyle name="40% - Accent5 169" xfId="3930"/>
    <cellStyle name="40% - Accent5 169 2" xfId="3931"/>
    <cellStyle name="40% - Accent5 17" xfId="3932"/>
    <cellStyle name="40% - Accent5 17 2" xfId="3933"/>
    <cellStyle name="40% - Accent5 17 3" xfId="3934"/>
    <cellStyle name="40% - Accent5 170" xfId="3935"/>
    <cellStyle name="40% - Accent5 170 2" xfId="3936"/>
    <cellStyle name="40% - Accent5 171" xfId="3937"/>
    <cellStyle name="40% - Accent5 171 2" xfId="3938"/>
    <cellStyle name="40% - Accent5 172" xfId="3939"/>
    <cellStyle name="40% - Accent5 172 2" xfId="3940"/>
    <cellStyle name="40% - Accent5 173" xfId="3941"/>
    <cellStyle name="40% - Accent5 173 2" xfId="3942"/>
    <cellStyle name="40% - Accent5 174" xfId="3943"/>
    <cellStyle name="40% - Accent5 174 2" xfId="3944"/>
    <cellStyle name="40% - Accent5 175" xfId="3945"/>
    <cellStyle name="40% - Accent5 175 2" xfId="3946"/>
    <cellStyle name="40% - Accent5 176" xfId="3947"/>
    <cellStyle name="40% - Accent5 176 2" xfId="3948"/>
    <cellStyle name="40% - Accent5 177" xfId="3949"/>
    <cellStyle name="40% - Accent5 177 2" xfId="3950"/>
    <cellStyle name="40% - Accent5 18" xfId="3951"/>
    <cellStyle name="40% - Accent5 18 2" xfId="3952"/>
    <cellStyle name="40% - Accent5 18 3" xfId="3953"/>
    <cellStyle name="40% - Accent5 19" xfId="3954"/>
    <cellStyle name="40% - Accent5 19 2" xfId="3955"/>
    <cellStyle name="40% - Accent5 19 3" xfId="3956"/>
    <cellStyle name="40% - Accent5 2" xfId="3957"/>
    <cellStyle name="40% - Accent5 2 2" xfId="3958"/>
    <cellStyle name="40% - Accent5 2 3" xfId="3959"/>
    <cellStyle name="40% - Accent5 2 4" xfId="3960"/>
    <cellStyle name="40% - Accent5 20" xfId="3961"/>
    <cellStyle name="40% - Accent5 20 2" xfId="3962"/>
    <cellStyle name="40% - Accent5 20 3" xfId="3963"/>
    <cellStyle name="40% - Accent5 21" xfId="3964"/>
    <cellStyle name="40% - Accent5 21 2" xfId="3965"/>
    <cellStyle name="40% - Accent5 21 3" xfId="3966"/>
    <cellStyle name="40% - Accent5 22" xfId="3967"/>
    <cellStyle name="40% - Accent5 22 2" xfId="3968"/>
    <cellStyle name="40% - Accent5 22 3" xfId="3969"/>
    <cellStyle name="40% - Accent5 23" xfId="3970"/>
    <cellStyle name="40% - Accent5 23 2" xfId="3971"/>
    <cellStyle name="40% - Accent5 23 3" xfId="3972"/>
    <cellStyle name="40% - Accent5 24" xfId="3973"/>
    <cellStyle name="40% - Accent5 24 2" xfId="3974"/>
    <cellStyle name="40% - Accent5 24 3" xfId="3975"/>
    <cellStyle name="40% - Accent5 25" xfId="3976"/>
    <cellStyle name="40% - Accent5 25 2" xfId="3977"/>
    <cellStyle name="40% - Accent5 25 3" xfId="3978"/>
    <cellStyle name="40% - Accent5 26" xfId="3979"/>
    <cellStyle name="40% - Accent5 26 2" xfId="3980"/>
    <cellStyle name="40% - Accent5 26 3" xfId="3981"/>
    <cellStyle name="40% - Accent5 27" xfId="3982"/>
    <cellStyle name="40% - Accent5 27 2" xfId="3983"/>
    <cellStyle name="40% - Accent5 27 3" xfId="3984"/>
    <cellStyle name="40% - Accent5 28" xfId="3985"/>
    <cellStyle name="40% - Accent5 28 2" xfId="3986"/>
    <cellStyle name="40% - Accent5 28 3" xfId="3987"/>
    <cellStyle name="40% - Accent5 29" xfId="3988"/>
    <cellStyle name="40% - Accent5 29 2" xfId="3989"/>
    <cellStyle name="40% - Accent5 29 3" xfId="3990"/>
    <cellStyle name="40% - Accent5 3" xfId="3991"/>
    <cellStyle name="40% - Accent5 3 2" xfId="3992"/>
    <cellStyle name="40% - Accent5 3 3" xfId="3993"/>
    <cellStyle name="40% - Accent5 30" xfId="3994"/>
    <cellStyle name="40% - Accent5 30 2" xfId="3995"/>
    <cellStyle name="40% - Accent5 30 3" xfId="3996"/>
    <cellStyle name="40% - Accent5 31" xfId="3997"/>
    <cellStyle name="40% - Accent5 31 2" xfId="3998"/>
    <cellStyle name="40% - Accent5 31 3" xfId="3999"/>
    <cellStyle name="40% - Accent5 32" xfId="4000"/>
    <cellStyle name="40% - Accent5 32 2" xfId="4001"/>
    <cellStyle name="40% - Accent5 32 3" xfId="4002"/>
    <cellStyle name="40% - Accent5 33" xfId="4003"/>
    <cellStyle name="40% - Accent5 33 2" xfId="4004"/>
    <cellStyle name="40% - Accent5 33 3" xfId="4005"/>
    <cellStyle name="40% - Accent5 34" xfId="4006"/>
    <cellStyle name="40% - Accent5 34 2" xfId="4007"/>
    <cellStyle name="40% - Accent5 34 3" xfId="4008"/>
    <cellStyle name="40% - Accent5 35" xfId="4009"/>
    <cellStyle name="40% - Accent5 35 2" xfId="4010"/>
    <cellStyle name="40% - Accent5 35 3" xfId="4011"/>
    <cellStyle name="40% - Accent5 36" xfId="4012"/>
    <cellStyle name="40% - Accent5 36 2" xfId="4013"/>
    <cellStyle name="40% - Accent5 36 3" xfId="4014"/>
    <cellStyle name="40% - Accent5 37" xfId="4015"/>
    <cellStyle name="40% - Accent5 37 2" xfId="4016"/>
    <cellStyle name="40% - Accent5 37 3" xfId="4017"/>
    <cellStyle name="40% - Accent5 38" xfId="4018"/>
    <cellStyle name="40% - Accent5 38 2" xfId="4019"/>
    <cellStyle name="40% - Accent5 38 3" xfId="4020"/>
    <cellStyle name="40% - Accent5 39" xfId="4021"/>
    <cellStyle name="40% - Accent5 39 2" xfId="4022"/>
    <cellStyle name="40% - Accent5 39 3" xfId="4023"/>
    <cellStyle name="40% - Accent5 4" xfId="4024"/>
    <cellStyle name="40% - Accent5 4 2" xfId="4025"/>
    <cellStyle name="40% - Accent5 4 3" xfId="4026"/>
    <cellStyle name="40% - Accent5 40" xfId="4027"/>
    <cellStyle name="40% - Accent5 40 2" xfId="4028"/>
    <cellStyle name="40% - Accent5 40 3" xfId="4029"/>
    <cellStyle name="40% - Accent5 41" xfId="4030"/>
    <cellStyle name="40% - Accent5 41 2" xfId="4031"/>
    <cellStyle name="40% - Accent5 41 3" xfId="4032"/>
    <cellStyle name="40% - Accent5 42" xfId="4033"/>
    <cellStyle name="40% - Accent5 42 2" xfId="4034"/>
    <cellStyle name="40% - Accent5 42 3" xfId="4035"/>
    <cellStyle name="40% - Accent5 43" xfId="4036"/>
    <cellStyle name="40% - Accent5 43 2" xfId="4037"/>
    <cellStyle name="40% - Accent5 43 3" xfId="4038"/>
    <cellStyle name="40% - Accent5 44" xfId="4039"/>
    <cellStyle name="40% - Accent5 44 2" xfId="4040"/>
    <cellStyle name="40% - Accent5 44 3" xfId="4041"/>
    <cellStyle name="40% - Accent5 45" xfId="4042"/>
    <cellStyle name="40% - Accent5 45 2" xfId="4043"/>
    <cellStyle name="40% - Accent5 45 3" xfId="4044"/>
    <cellStyle name="40% - Accent5 46" xfId="4045"/>
    <cellStyle name="40% - Accent5 46 2" xfId="4046"/>
    <cellStyle name="40% - Accent5 46 3" xfId="4047"/>
    <cellStyle name="40% - Accent5 47" xfId="4048"/>
    <cellStyle name="40% - Accent5 47 2" xfId="4049"/>
    <cellStyle name="40% - Accent5 47 3" xfId="4050"/>
    <cellStyle name="40% - Accent5 48" xfId="4051"/>
    <cellStyle name="40% - Accent5 48 2" xfId="4052"/>
    <cellStyle name="40% - Accent5 48 3" xfId="4053"/>
    <cellStyle name="40% - Accent5 49" xfId="4054"/>
    <cellStyle name="40% - Accent5 49 2" xfId="4055"/>
    <cellStyle name="40% - Accent5 49 3" xfId="4056"/>
    <cellStyle name="40% - Accent5 5" xfId="4057"/>
    <cellStyle name="40% - Accent5 5 2" xfId="4058"/>
    <cellStyle name="40% - Accent5 5 3" xfId="4059"/>
    <cellStyle name="40% - Accent5 50" xfId="4060"/>
    <cellStyle name="40% - Accent5 50 2" xfId="4061"/>
    <cellStyle name="40% - Accent5 50 3" xfId="4062"/>
    <cellStyle name="40% - Accent5 51" xfId="4063"/>
    <cellStyle name="40% - Accent5 51 2" xfId="4064"/>
    <cellStyle name="40% - Accent5 51 3" xfId="4065"/>
    <cellStyle name="40% - Accent5 52" xfId="4066"/>
    <cellStyle name="40% - Accent5 52 2" xfId="4067"/>
    <cellStyle name="40% - Accent5 52 3" xfId="4068"/>
    <cellStyle name="40% - Accent5 53" xfId="4069"/>
    <cellStyle name="40% - Accent5 53 2" xfId="4070"/>
    <cellStyle name="40% - Accent5 53 3" xfId="4071"/>
    <cellStyle name="40% - Accent5 54" xfId="4072"/>
    <cellStyle name="40% - Accent5 54 2" xfId="4073"/>
    <cellStyle name="40% - Accent5 54 3" xfId="4074"/>
    <cellStyle name="40% - Accent5 55" xfId="4075"/>
    <cellStyle name="40% - Accent5 55 2" xfId="4076"/>
    <cellStyle name="40% - Accent5 55 3" xfId="4077"/>
    <cellStyle name="40% - Accent5 56" xfId="4078"/>
    <cellStyle name="40% - Accent5 56 2" xfId="4079"/>
    <cellStyle name="40% - Accent5 56 3" xfId="4080"/>
    <cellStyle name="40% - Accent5 57" xfId="4081"/>
    <cellStyle name="40% - Accent5 57 2" xfId="4082"/>
    <cellStyle name="40% - Accent5 57 3" xfId="4083"/>
    <cellStyle name="40% - Accent5 58" xfId="4084"/>
    <cellStyle name="40% - Accent5 58 2" xfId="4085"/>
    <cellStyle name="40% - Accent5 58 3" xfId="4086"/>
    <cellStyle name="40% - Accent5 59" xfId="4087"/>
    <cellStyle name="40% - Accent5 59 2" xfId="4088"/>
    <cellStyle name="40% - Accent5 59 3" xfId="4089"/>
    <cellStyle name="40% - Accent5 6" xfId="4090"/>
    <cellStyle name="40% - Accent5 6 2" xfId="4091"/>
    <cellStyle name="40% - Accent5 6 3" xfId="4092"/>
    <cellStyle name="40% - Accent5 60" xfId="4093"/>
    <cellStyle name="40% - Accent5 60 2" xfId="4094"/>
    <cellStyle name="40% - Accent5 60 3" xfId="4095"/>
    <cellStyle name="40% - Accent5 61" xfId="4096"/>
    <cellStyle name="40% - Accent5 61 2" xfId="4097"/>
    <cellStyle name="40% - Accent5 61 3" xfId="4098"/>
    <cellStyle name="40% - Accent5 62" xfId="4099"/>
    <cellStyle name="40% - Accent5 62 2" xfId="4100"/>
    <cellStyle name="40% - Accent5 62 3" xfId="4101"/>
    <cellStyle name="40% - Accent5 63" xfId="4102"/>
    <cellStyle name="40% - Accent5 63 2" xfId="4103"/>
    <cellStyle name="40% - Accent5 63 3" xfId="4104"/>
    <cellStyle name="40% - Accent5 64" xfId="4105"/>
    <cellStyle name="40% - Accent5 64 2" xfId="4106"/>
    <cellStyle name="40% - Accent5 64 3" xfId="4107"/>
    <cellStyle name="40% - Accent5 65" xfId="4108"/>
    <cellStyle name="40% - Accent5 65 2" xfId="4109"/>
    <cellStyle name="40% - Accent5 65 3" xfId="4110"/>
    <cellStyle name="40% - Accent5 66" xfId="4111"/>
    <cellStyle name="40% - Accent5 66 2" xfId="4112"/>
    <cellStyle name="40% - Accent5 66 3" xfId="4113"/>
    <cellStyle name="40% - Accent5 67" xfId="4114"/>
    <cellStyle name="40% - Accent5 67 2" xfId="4115"/>
    <cellStyle name="40% - Accent5 67 3" xfId="4116"/>
    <cellStyle name="40% - Accent5 68" xfId="4117"/>
    <cellStyle name="40% - Accent5 68 2" xfId="4118"/>
    <cellStyle name="40% - Accent5 68 3" xfId="4119"/>
    <cellStyle name="40% - Accent5 69" xfId="4120"/>
    <cellStyle name="40% - Accent5 69 2" xfId="4121"/>
    <cellStyle name="40% - Accent5 69 3" xfId="4122"/>
    <cellStyle name="40% - Accent5 7" xfId="4123"/>
    <cellStyle name="40% - Accent5 7 2" xfId="4124"/>
    <cellStyle name="40% - Accent5 7 3" xfId="4125"/>
    <cellStyle name="40% - Accent5 70" xfId="4126"/>
    <cellStyle name="40% - Accent5 70 2" xfId="4127"/>
    <cellStyle name="40% - Accent5 70 3" xfId="4128"/>
    <cellStyle name="40% - Accent5 71" xfId="4129"/>
    <cellStyle name="40% - Accent5 71 2" xfId="4130"/>
    <cellStyle name="40% - Accent5 71 3" xfId="4131"/>
    <cellStyle name="40% - Accent5 72" xfId="4132"/>
    <cellStyle name="40% - Accent5 72 2" xfId="4133"/>
    <cellStyle name="40% - Accent5 73" xfId="4134"/>
    <cellStyle name="40% - Accent5 73 2" xfId="4135"/>
    <cellStyle name="40% - Accent5 74" xfId="4136"/>
    <cellStyle name="40% - Accent5 74 2" xfId="4137"/>
    <cellStyle name="40% - Accent5 75" xfId="4138"/>
    <cellStyle name="40% - Accent5 75 2" xfId="4139"/>
    <cellStyle name="40% - Accent5 76" xfId="4140"/>
    <cellStyle name="40% - Accent5 76 2" xfId="4141"/>
    <cellStyle name="40% - Accent5 77" xfId="4142"/>
    <cellStyle name="40% - Accent5 77 2" xfId="4143"/>
    <cellStyle name="40% - Accent5 78" xfId="4144"/>
    <cellStyle name="40% - Accent5 78 2" xfId="4145"/>
    <cellStyle name="40% - Accent5 79" xfId="4146"/>
    <cellStyle name="40% - Accent5 79 2" xfId="4147"/>
    <cellStyle name="40% - Accent5 8" xfId="4148"/>
    <cellStyle name="40% - Accent5 8 2" xfId="4149"/>
    <cellStyle name="40% - Accent5 8 3" xfId="4150"/>
    <cellStyle name="40% - Accent5 80" xfId="4151"/>
    <cellStyle name="40% - Accent5 80 2" xfId="4152"/>
    <cellStyle name="40% - Accent5 81" xfId="4153"/>
    <cellStyle name="40% - Accent5 81 2" xfId="4154"/>
    <cellStyle name="40% - Accent5 82" xfId="4155"/>
    <cellStyle name="40% - Accent5 82 2" xfId="4156"/>
    <cellStyle name="40% - Accent5 83" xfId="4157"/>
    <cellStyle name="40% - Accent5 83 2" xfId="4158"/>
    <cellStyle name="40% - Accent5 84" xfId="4159"/>
    <cellStyle name="40% - Accent5 84 2" xfId="4160"/>
    <cellStyle name="40% - Accent5 85" xfId="4161"/>
    <cellStyle name="40% - Accent5 85 2" xfId="4162"/>
    <cellStyle name="40% - Accent5 86" xfId="4163"/>
    <cellStyle name="40% - Accent5 86 2" xfId="4164"/>
    <cellStyle name="40% - Accent5 87" xfId="4165"/>
    <cellStyle name="40% - Accent5 87 2" xfId="4166"/>
    <cellStyle name="40% - Accent5 88" xfId="4167"/>
    <cellStyle name="40% - Accent5 88 2" xfId="4168"/>
    <cellStyle name="40% - Accent5 89" xfId="4169"/>
    <cellStyle name="40% - Accent5 89 2" xfId="4170"/>
    <cellStyle name="40% - Accent5 9" xfId="4171"/>
    <cellStyle name="40% - Accent5 9 2" xfId="4172"/>
    <cellStyle name="40% - Accent5 9 3" xfId="4173"/>
    <cellStyle name="40% - Accent5 90" xfId="4174"/>
    <cellStyle name="40% - Accent5 90 2" xfId="4175"/>
    <cellStyle name="40% - Accent5 91" xfId="4176"/>
    <cellStyle name="40% - Accent5 91 2" xfId="4177"/>
    <cellStyle name="40% - Accent5 92" xfId="4178"/>
    <cellStyle name="40% - Accent5 92 2" xfId="4179"/>
    <cellStyle name="40% - Accent5 93" xfId="4180"/>
    <cellStyle name="40% - Accent5 93 2" xfId="4181"/>
    <cellStyle name="40% - Accent5 94" xfId="4182"/>
    <cellStyle name="40% - Accent5 94 2" xfId="4183"/>
    <cellStyle name="40% - Accent5 95" xfId="4184"/>
    <cellStyle name="40% - Accent5 95 2" xfId="4185"/>
    <cellStyle name="40% - Accent5 96" xfId="4186"/>
    <cellStyle name="40% - Accent5 96 2" xfId="4187"/>
    <cellStyle name="40% - Accent5 97" xfId="4188"/>
    <cellStyle name="40% - Accent5 97 2" xfId="4189"/>
    <cellStyle name="40% - Accent5 98" xfId="4190"/>
    <cellStyle name="40% - Accent5 98 2" xfId="4191"/>
    <cellStyle name="40% - Accent5 99" xfId="4192"/>
    <cellStyle name="40% - Accent5 99 2" xfId="4193"/>
    <cellStyle name="40% - Accent6 10" xfId="4194"/>
    <cellStyle name="40% - Accent6 10 2" xfId="4195"/>
    <cellStyle name="40% - Accent6 10 3" xfId="4196"/>
    <cellStyle name="40% - Accent6 100" xfId="4197"/>
    <cellStyle name="40% - Accent6 100 2" xfId="4198"/>
    <cellStyle name="40% - Accent6 101" xfId="4199"/>
    <cellStyle name="40% - Accent6 101 2" xfId="4200"/>
    <cellStyle name="40% - Accent6 102" xfId="4201"/>
    <cellStyle name="40% - Accent6 102 2" xfId="4202"/>
    <cellStyle name="40% - Accent6 103" xfId="4203"/>
    <cellStyle name="40% - Accent6 103 2" xfId="4204"/>
    <cellStyle name="40% - Accent6 104" xfId="4205"/>
    <cellStyle name="40% - Accent6 104 2" xfId="4206"/>
    <cellStyle name="40% - Accent6 105" xfId="4207"/>
    <cellStyle name="40% - Accent6 105 2" xfId="4208"/>
    <cellStyle name="40% - Accent6 106" xfId="4209"/>
    <cellStyle name="40% - Accent6 106 2" xfId="4210"/>
    <cellStyle name="40% - Accent6 107" xfId="4211"/>
    <cellStyle name="40% - Accent6 107 2" xfId="4212"/>
    <cellStyle name="40% - Accent6 108" xfId="4213"/>
    <cellStyle name="40% - Accent6 108 2" xfId="4214"/>
    <cellStyle name="40% - Accent6 109" xfId="4215"/>
    <cellStyle name="40% - Accent6 109 2" xfId="4216"/>
    <cellStyle name="40% - Accent6 11" xfId="4217"/>
    <cellStyle name="40% - Accent6 11 2" xfId="4218"/>
    <cellStyle name="40% - Accent6 11 3" xfId="4219"/>
    <cellStyle name="40% - Accent6 110" xfId="4220"/>
    <cellStyle name="40% - Accent6 110 2" xfId="4221"/>
    <cellStyle name="40% - Accent6 111" xfId="4222"/>
    <cellStyle name="40% - Accent6 111 2" xfId="4223"/>
    <cellStyle name="40% - Accent6 112" xfId="4224"/>
    <cellStyle name="40% - Accent6 112 2" xfId="4225"/>
    <cellStyle name="40% - Accent6 113" xfId="4226"/>
    <cellStyle name="40% - Accent6 113 2" xfId="4227"/>
    <cellStyle name="40% - Accent6 114" xfId="4228"/>
    <cellStyle name="40% - Accent6 114 2" xfId="4229"/>
    <cellStyle name="40% - Accent6 115" xfId="4230"/>
    <cellStyle name="40% - Accent6 115 2" xfId="4231"/>
    <cellStyle name="40% - Accent6 116" xfId="4232"/>
    <cellStyle name="40% - Accent6 116 2" xfId="4233"/>
    <cellStyle name="40% - Accent6 117" xfId="4234"/>
    <cellStyle name="40% - Accent6 117 2" xfId="4235"/>
    <cellStyle name="40% - Accent6 118" xfId="4236"/>
    <cellStyle name="40% - Accent6 118 2" xfId="4237"/>
    <cellStyle name="40% - Accent6 119" xfId="4238"/>
    <cellStyle name="40% - Accent6 119 2" xfId="4239"/>
    <cellStyle name="40% - Accent6 12" xfId="4240"/>
    <cellStyle name="40% - Accent6 12 2" xfId="4241"/>
    <cellStyle name="40% - Accent6 12 3" xfId="4242"/>
    <cellStyle name="40% - Accent6 120" xfId="4243"/>
    <cellStyle name="40% - Accent6 120 2" xfId="4244"/>
    <cellStyle name="40% - Accent6 121" xfId="4245"/>
    <cellStyle name="40% - Accent6 121 2" xfId="4246"/>
    <cellStyle name="40% - Accent6 122" xfId="4247"/>
    <cellStyle name="40% - Accent6 122 2" xfId="4248"/>
    <cellStyle name="40% - Accent6 123" xfId="4249"/>
    <cellStyle name="40% - Accent6 123 2" xfId="4250"/>
    <cellStyle name="40% - Accent6 124" xfId="4251"/>
    <cellStyle name="40% - Accent6 124 2" xfId="4252"/>
    <cellStyle name="40% - Accent6 125" xfId="4253"/>
    <cellStyle name="40% - Accent6 125 2" xfId="4254"/>
    <cellStyle name="40% - Accent6 126" xfId="4255"/>
    <cellStyle name="40% - Accent6 126 2" xfId="4256"/>
    <cellStyle name="40% - Accent6 127" xfId="4257"/>
    <cellStyle name="40% - Accent6 127 2" xfId="4258"/>
    <cellStyle name="40% - Accent6 128" xfId="4259"/>
    <cellStyle name="40% - Accent6 128 2" xfId="4260"/>
    <cellStyle name="40% - Accent6 129" xfId="4261"/>
    <cellStyle name="40% - Accent6 129 2" xfId="4262"/>
    <cellStyle name="40% - Accent6 13" xfId="4263"/>
    <cellStyle name="40% - Accent6 13 2" xfId="4264"/>
    <cellStyle name="40% - Accent6 13 3" xfId="4265"/>
    <cellStyle name="40% - Accent6 130" xfId="4266"/>
    <cellStyle name="40% - Accent6 130 2" xfId="4267"/>
    <cellStyle name="40% - Accent6 131" xfId="4268"/>
    <cellStyle name="40% - Accent6 131 2" xfId="4269"/>
    <cellStyle name="40% - Accent6 132" xfId="4270"/>
    <cellStyle name="40% - Accent6 132 2" xfId="4271"/>
    <cellStyle name="40% - Accent6 133" xfId="4272"/>
    <cellStyle name="40% - Accent6 133 2" xfId="4273"/>
    <cellStyle name="40% - Accent6 134" xfId="4274"/>
    <cellStyle name="40% - Accent6 134 2" xfId="4275"/>
    <cellStyle name="40% - Accent6 135" xfId="4276"/>
    <cellStyle name="40% - Accent6 135 2" xfId="4277"/>
    <cellStyle name="40% - Accent6 136" xfId="4278"/>
    <cellStyle name="40% - Accent6 136 2" xfId="4279"/>
    <cellStyle name="40% - Accent6 137" xfId="4280"/>
    <cellStyle name="40% - Accent6 137 2" xfId="4281"/>
    <cellStyle name="40% - Accent6 138" xfId="4282"/>
    <cellStyle name="40% - Accent6 138 2" xfId="4283"/>
    <cellStyle name="40% - Accent6 139" xfId="4284"/>
    <cellStyle name="40% - Accent6 139 2" xfId="4285"/>
    <cellStyle name="40% - Accent6 14" xfId="4286"/>
    <cellStyle name="40% - Accent6 14 2" xfId="4287"/>
    <cellStyle name="40% - Accent6 14 3" xfId="4288"/>
    <cellStyle name="40% - Accent6 140" xfId="4289"/>
    <cellStyle name="40% - Accent6 140 2" xfId="4290"/>
    <cellStyle name="40% - Accent6 141" xfId="4291"/>
    <cellStyle name="40% - Accent6 141 2" xfId="4292"/>
    <cellStyle name="40% - Accent6 142" xfId="4293"/>
    <cellStyle name="40% - Accent6 142 2" xfId="4294"/>
    <cellStyle name="40% - Accent6 143" xfId="4295"/>
    <cellStyle name="40% - Accent6 143 2" xfId="4296"/>
    <cellStyle name="40% - Accent6 144" xfId="4297"/>
    <cellStyle name="40% - Accent6 144 2" xfId="4298"/>
    <cellStyle name="40% - Accent6 145" xfId="4299"/>
    <cellStyle name="40% - Accent6 145 2" xfId="4300"/>
    <cellStyle name="40% - Accent6 146" xfId="4301"/>
    <cellStyle name="40% - Accent6 146 2" xfId="4302"/>
    <cellStyle name="40% - Accent6 147" xfId="4303"/>
    <cellStyle name="40% - Accent6 147 2" xfId="4304"/>
    <cellStyle name="40% - Accent6 148" xfId="4305"/>
    <cellStyle name="40% - Accent6 148 2" xfId="4306"/>
    <cellStyle name="40% - Accent6 149" xfId="4307"/>
    <cellStyle name="40% - Accent6 149 2" xfId="4308"/>
    <cellStyle name="40% - Accent6 15" xfId="4309"/>
    <cellStyle name="40% - Accent6 15 2" xfId="4310"/>
    <cellStyle name="40% - Accent6 15 3" xfId="4311"/>
    <cellStyle name="40% - Accent6 150" xfId="4312"/>
    <cellStyle name="40% - Accent6 150 2" xfId="4313"/>
    <cellStyle name="40% - Accent6 151" xfId="4314"/>
    <cellStyle name="40% - Accent6 151 2" xfId="4315"/>
    <cellStyle name="40% - Accent6 152" xfId="4316"/>
    <cellStyle name="40% - Accent6 152 2" xfId="4317"/>
    <cellStyle name="40% - Accent6 153" xfId="4318"/>
    <cellStyle name="40% - Accent6 153 2" xfId="4319"/>
    <cellStyle name="40% - Accent6 154" xfId="4320"/>
    <cellStyle name="40% - Accent6 154 2" xfId="4321"/>
    <cellStyle name="40% - Accent6 155" xfId="4322"/>
    <cellStyle name="40% - Accent6 155 2" xfId="4323"/>
    <cellStyle name="40% - Accent6 156" xfId="4324"/>
    <cellStyle name="40% - Accent6 156 2" xfId="4325"/>
    <cellStyle name="40% - Accent6 157" xfId="4326"/>
    <cellStyle name="40% - Accent6 157 2" xfId="4327"/>
    <cellStyle name="40% - Accent6 158" xfId="4328"/>
    <cellStyle name="40% - Accent6 158 2" xfId="4329"/>
    <cellStyle name="40% - Accent6 159" xfId="4330"/>
    <cellStyle name="40% - Accent6 159 2" xfId="4331"/>
    <cellStyle name="40% - Accent6 16" xfId="4332"/>
    <cellStyle name="40% - Accent6 16 2" xfId="4333"/>
    <cellStyle name="40% - Accent6 16 3" xfId="4334"/>
    <cellStyle name="40% - Accent6 160" xfId="4335"/>
    <cellStyle name="40% - Accent6 160 2" xfId="4336"/>
    <cellStyle name="40% - Accent6 161" xfId="4337"/>
    <cellStyle name="40% - Accent6 161 2" xfId="4338"/>
    <cellStyle name="40% - Accent6 162" xfId="4339"/>
    <cellStyle name="40% - Accent6 162 2" xfId="4340"/>
    <cellStyle name="40% - Accent6 163" xfId="4341"/>
    <cellStyle name="40% - Accent6 163 2" xfId="4342"/>
    <cellStyle name="40% - Accent6 164" xfId="4343"/>
    <cellStyle name="40% - Accent6 164 2" xfId="4344"/>
    <cellStyle name="40% - Accent6 165" xfId="4345"/>
    <cellStyle name="40% - Accent6 165 2" xfId="4346"/>
    <cellStyle name="40% - Accent6 166" xfId="4347"/>
    <cellStyle name="40% - Accent6 166 2" xfId="4348"/>
    <cellStyle name="40% - Accent6 167" xfId="4349"/>
    <cellStyle name="40% - Accent6 167 2" xfId="4350"/>
    <cellStyle name="40% - Accent6 168" xfId="4351"/>
    <cellStyle name="40% - Accent6 168 2" xfId="4352"/>
    <cellStyle name="40% - Accent6 169" xfId="4353"/>
    <cellStyle name="40% - Accent6 169 2" xfId="4354"/>
    <cellStyle name="40% - Accent6 17" xfId="4355"/>
    <cellStyle name="40% - Accent6 17 2" xfId="4356"/>
    <cellStyle name="40% - Accent6 17 3" xfId="4357"/>
    <cellStyle name="40% - Accent6 170" xfId="4358"/>
    <cellStyle name="40% - Accent6 170 2" xfId="4359"/>
    <cellStyle name="40% - Accent6 171" xfId="4360"/>
    <cellStyle name="40% - Accent6 171 2" xfId="4361"/>
    <cellStyle name="40% - Accent6 172" xfId="4362"/>
    <cellStyle name="40% - Accent6 172 2" xfId="4363"/>
    <cellStyle name="40% - Accent6 173" xfId="4364"/>
    <cellStyle name="40% - Accent6 173 2" xfId="4365"/>
    <cellStyle name="40% - Accent6 174" xfId="4366"/>
    <cellStyle name="40% - Accent6 174 2" xfId="4367"/>
    <cellStyle name="40% - Accent6 175" xfId="4368"/>
    <cellStyle name="40% - Accent6 175 2" xfId="4369"/>
    <cellStyle name="40% - Accent6 176" xfId="4370"/>
    <cellStyle name="40% - Accent6 176 2" xfId="4371"/>
    <cellStyle name="40% - Accent6 177" xfId="4372"/>
    <cellStyle name="40% - Accent6 177 2" xfId="4373"/>
    <cellStyle name="40% - Accent6 18" xfId="4374"/>
    <cellStyle name="40% - Accent6 18 2" xfId="4375"/>
    <cellStyle name="40% - Accent6 18 3" xfId="4376"/>
    <cellStyle name="40% - Accent6 19" xfId="4377"/>
    <cellStyle name="40% - Accent6 19 2" xfId="4378"/>
    <cellStyle name="40% - Accent6 19 3" xfId="4379"/>
    <cellStyle name="40% - Accent6 2" xfId="4380"/>
    <cellStyle name="40% - Accent6 2 2" xfId="4381"/>
    <cellStyle name="40% - Accent6 2 3" xfId="4382"/>
    <cellStyle name="40% - Accent6 2 4" xfId="4383"/>
    <cellStyle name="40% - Accent6 20" xfId="4384"/>
    <cellStyle name="40% - Accent6 20 2" xfId="4385"/>
    <cellStyle name="40% - Accent6 20 3" xfId="4386"/>
    <cellStyle name="40% - Accent6 21" xfId="4387"/>
    <cellStyle name="40% - Accent6 21 2" xfId="4388"/>
    <cellStyle name="40% - Accent6 21 3" xfId="4389"/>
    <cellStyle name="40% - Accent6 22" xfId="4390"/>
    <cellStyle name="40% - Accent6 22 2" xfId="4391"/>
    <cellStyle name="40% - Accent6 22 3" xfId="4392"/>
    <cellStyle name="40% - Accent6 23" xfId="4393"/>
    <cellStyle name="40% - Accent6 23 2" xfId="4394"/>
    <cellStyle name="40% - Accent6 23 3" xfId="4395"/>
    <cellStyle name="40% - Accent6 24" xfId="4396"/>
    <cellStyle name="40% - Accent6 24 2" xfId="4397"/>
    <cellStyle name="40% - Accent6 24 3" xfId="4398"/>
    <cellStyle name="40% - Accent6 25" xfId="4399"/>
    <cellStyle name="40% - Accent6 25 2" xfId="4400"/>
    <cellStyle name="40% - Accent6 25 3" xfId="4401"/>
    <cellStyle name="40% - Accent6 26" xfId="4402"/>
    <cellStyle name="40% - Accent6 26 2" xfId="4403"/>
    <cellStyle name="40% - Accent6 26 3" xfId="4404"/>
    <cellStyle name="40% - Accent6 27" xfId="4405"/>
    <cellStyle name="40% - Accent6 27 2" xfId="4406"/>
    <cellStyle name="40% - Accent6 27 3" xfId="4407"/>
    <cellStyle name="40% - Accent6 28" xfId="4408"/>
    <cellStyle name="40% - Accent6 28 2" xfId="4409"/>
    <cellStyle name="40% - Accent6 28 3" xfId="4410"/>
    <cellStyle name="40% - Accent6 29" xfId="4411"/>
    <cellStyle name="40% - Accent6 29 2" xfId="4412"/>
    <cellStyle name="40% - Accent6 29 3" xfId="4413"/>
    <cellStyle name="40% - Accent6 3" xfId="4414"/>
    <cellStyle name="40% - Accent6 3 2" xfId="4415"/>
    <cellStyle name="40% - Accent6 3 3" xfId="4416"/>
    <cellStyle name="40% - Accent6 30" xfId="4417"/>
    <cellStyle name="40% - Accent6 30 2" xfId="4418"/>
    <cellStyle name="40% - Accent6 30 3" xfId="4419"/>
    <cellStyle name="40% - Accent6 31" xfId="4420"/>
    <cellStyle name="40% - Accent6 31 2" xfId="4421"/>
    <cellStyle name="40% - Accent6 31 3" xfId="4422"/>
    <cellStyle name="40% - Accent6 32" xfId="4423"/>
    <cellStyle name="40% - Accent6 32 2" xfId="4424"/>
    <cellStyle name="40% - Accent6 32 3" xfId="4425"/>
    <cellStyle name="40% - Accent6 33" xfId="4426"/>
    <cellStyle name="40% - Accent6 33 2" xfId="4427"/>
    <cellStyle name="40% - Accent6 33 3" xfId="4428"/>
    <cellStyle name="40% - Accent6 34" xfId="4429"/>
    <cellStyle name="40% - Accent6 34 2" xfId="4430"/>
    <cellStyle name="40% - Accent6 34 3" xfId="4431"/>
    <cellStyle name="40% - Accent6 35" xfId="4432"/>
    <cellStyle name="40% - Accent6 35 2" xfId="4433"/>
    <cellStyle name="40% - Accent6 35 3" xfId="4434"/>
    <cellStyle name="40% - Accent6 36" xfId="4435"/>
    <cellStyle name="40% - Accent6 36 2" xfId="4436"/>
    <cellStyle name="40% - Accent6 36 3" xfId="4437"/>
    <cellStyle name="40% - Accent6 37" xfId="4438"/>
    <cellStyle name="40% - Accent6 37 2" xfId="4439"/>
    <cellStyle name="40% - Accent6 37 3" xfId="4440"/>
    <cellStyle name="40% - Accent6 38" xfId="4441"/>
    <cellStyle name="40% - Accent6 38 2" xfId="4442"/>
    <cellStyle name="40% - Accent6 38 3" xfId="4443"/>
    <cellStyle name="40% - Accent6 39" xfId="4444"/>
    <cellStyle name="40% - Accent6 39 2" xfId="4445"/>
    <cellStyle name="40% - Accent6 39 3" xfId="4446"/>
    <cellStyle name="40% - Accent6 4" xfId="4447"/>
    <cellStyle name="40% - Accent6 4 2" xfId="4448"/>
    <cellStyle name="40% - Accent6 4 3" xfId="4449"/>
    <cellStyle name="40% - Accent6 40" xfId="4450"/>
    <cellStyle name="40% - Accent6 40 2" xfId="4451"/>
    <cellStyle name="40% - Accent6 40 3" xfId="4452"/>
    <cellStyle name="40% - Accent6 41" xfId="4453"/>
    <cellStyle name="40% - Accent6 41 2" xfId="4454"/>
    <cellStyle name="40% - Accent6 41 3" xfId="4455"/>
    <cellStyle name="40% - Accent6 42" xfId="4456"/>
    <cellStyle name="40% - Accent6 42 2" xfId="4457"/>
    <cellStyle name="40% - Accent6 42 3" xfId="4458"/>
    <cellStyle name="40% - Accent6 43" xfId="4459"/>
    <cellStyle name="40% - Accent6 43 2" xfId="4460"/>
    <cellStyle name="40% - Accent6 43 3" xfId="4461"/>
    <cellStyle name="40% - Accent6 44" xfId="4462"/>
    <cellStyle name="40% - Accent6 44 2" xfId="4463"/>
    <cellStyle name="40% - Accent6 44 3" xfId="4464"/>
    <cellStyle name="40% - Accent6 45" xfId="4465"/>
    <cellStyle name="40% - Accent6 45 2" xfId="4466"/>
    <cellStyle name="40% - Accent6 45 3" xfId="4467"/>
    <cellStyle name="40% - Accent6 46" xfId="4468"/>
    <cellStyle name="40% - Accent6 46 2" xfId="4469"/>
    <cellStyle name="40% - Accent6 46 3" xfId="4470"/>
    <cellStyle name="40% - Accent6 47" xfId="4471"/>
    <cellStyle name="40% - Accent6 47 2" xfId="4472"/>
    <cellStyle name="40% - Accent6 47 3" xfId="4473"/>
    <cellStyle name="40% - Accent6 48" xfId="4474"/>
    <cellStyle name="40% - Accent6 48 2" xfId="4475"/>
    <cellStyle name="40% - Accent6 48 3" xfId="4476"/>
    <cellStyle name="40% - Accent6 49" xfId="4477"/>
    <cellStyle name="40% - Accent6 49 2" xfId="4478"/>
    <cellStyle name="40% - Accent6 49 3" xfId="4479"/>
    <cellStyle name="40% - Accent6 5" xfId="4480"/>
    <cellStyle name="40% - Accent6 5 2" xfId="4481"/>
    <cellStyle name="40% - Accent6 5 3" xfId="4482"/>
    <cellStyle name="40% - Accent6 50" xfId="4483"/>
    <cellStyle name="40% - Accent6 50 2" xfId="4484"/>
    <cellStyle name="40% - Accent6 50 3" xfId="4485"/>
    <cellStyle name="40% - Accent6 51" xfId="4486"/>
    <cellStyle name="40% - Accent6 51 2" xfId="4487"/>
    <cellStyle name="40% - Accent6 51 3" xfId="4488"/>
    <cellStyle name="40% - Accent6 52" xfId="4489"/>
    <cellStyle name="40% - Accent6 52 2" xfId="4490"/>
    <cellStyle name="40% - Accent6 52 3" xfId="4491"/>
    <cellStyle name="40% - Accent6 53" xfId="4492"/>
    <cellStyle name="40% - Accent6 53 2" xfId="4493"/>
    <cellStyle name="40% - Accent6 53 3" xfId="4494"/>
    <cellStyle name="40% - Accent6 54" xfId="4495"/>
    <cellStyle name="40% - Accent6 54 2" xfId="4496"/>
    <cellStyle name="40% - Accent6 54 3" xfId="4497"/>
    <cellStyle name="40% - Accent6 55" xfId="4498"/>
    <cellStyle name="40% - Accent6 55 2" xfId="4499"/>
    <cellStyle name="40% - Accent6 55 3" xfId="4500"/>
    <cellStyle name="40% - Accent6 56" xfId="4501"/>
    <cellStyle name="40% - Accent6 56 2" xfId="4502"/>
    <cellStyle name="40% - Accent6 56 3" xfId="4503"/>
    <cellStyle name="40% - Accent6 57" xfId="4504"/>
    <cellStyle name="40% - Accent6 57 2" xfId="4505"/>
    <cellStyle name="40% - Accent6 57 3" xfId="4506"/>
    <cellStyle name="40% - Accent6 58" xfId="4507"/>
    <cellStyle name="40% - Accent6 58 2" xfId="4508"/>
    <cellStyle name="40% - Accent6 58 3" xfId="4509"/>
    <cellStyle name="40% - Accent6 59" xfId="4510"/>
    <cellStyle name="40% - Accent6 59 2" xfId="4511"/>
    <cellStyle name="40% - Accent6 59 3" xfId="4512"/>
    <cellStyle name="40% - Accent6 6" xfId="4513"/>
    <cellStyle name="40% - Accent6 6 2" xfId="4514"/>
    <cellStyle name="40% - Accent6 6 3" xfId="4515"/>
    <cellStyle name="40% - Accent6 60" xfId="4516"/>
    <cellStyle name="40% - Accent6 60 2" xfId="4517"/>
    <cellStyle name="40% - Accent6 60 3" xfId="4518"/>
    <cellStyle name="40% - Accent6 61" xfId="4519"/>
    <cellStyle name="40% - Accent6 61 2" xfId="4520"/>
    <cellStyle name="40% - Accent6 61 3" xfId="4521"/>
    <cellStyle name="40% - Accent6 62" xfId="4522"/>
    <cellStyle name="40% - Accent6 62 2" xfId="4523"/>
    <cellStyle name="40% - Accent6 62 3" xfId="4524"/>
    <cellStyle name="40% - Accent6 63" xfId="4525"/>
    <cellStyle name="40% - Accent6 63 2" xfId="4526"/>
    <cellStyle name="40% - Accent6 63 3" xfId="4527"/>
    <cellStyle name="40% - Accent6 64" xfId="4528"/>
    <cellStyle name="40% - Accent6 64 2" xfId="4529"/>
    <cellStyle name="40% - Accent6 64 3" xfId="4530"/>
    <cellStyle name="40% - Accent6 65" xfId="4531"/>
    <cellStyle name="40% - Accent6 65 2" xfId="4532"/>
    <cellStyle name="40% - Accent6 65 3" xfId="4533"/>
    <cellStyle name="40% - Accent6 66" xfId="4534"/>
    <cellStyle name="40% - Accent6 66 2" xfId="4535"/>
    <cellStyle name="40% - Accent6 66 3" xfId="4536"/>
    <cellStyle name="40% - Accent6 67" xfId="4537"/>
    <cellStyle name="40% - Accent6 67 2" xfId="4538"/>
    <cellStyle name="40% - Accent6 67 3" xfId="4539"/>
    <cellStyle name="40% - Accent6 68" xfId="4540"/>
    <cellStyle name="40% - Accent6 68 2" xfId="4541"/>
    <cellStyle name="40% - Accent6 68 3" xfId="4542"/>
    <cellStyle name="40% - Accent6 69" xfId="4543"/>
    <cellStyle name="40% - Accent6 69 2" xfId="4544"/>
    <cellStyle name="40% - Accent6 69 3" xfId="4545"/>
    <cellStyle name="40% - Accent6 7" xfId="4546"/>
    <cellStyle name="40% - Accent6 7 2" xfId="4547"/>
    <cellStyle name="40% - Accent6 7 3" xfId="4548"/>
    <cellStyle name="40% - Accent6 70" xfId="4549"/>
    <cellStyle name="40% - Accent6 70 2" xfId="4550"/>
    <cellStyle name="40% - Accent6 70 3" xfId="4551"/>
    <cellStyle name="40% - Accent6 71" xfId="4552"/>
    <cellStyle name="40% - Accent6 71 2" xfId="4553"/>
    <cellStyle name="40% - Accent6 71 3" xfId="4554"/>
    <cellStyle name="40% - Accent6 72" xfId="4555"/>
    <cellStyle name="40% - Accent6 72 2" xfId="4556"/>
    <cellStyle name="40% - Accent6 73" xfId="4557"/>
    <cellStyle name="40% - Accent6 73 2" xfId="4558"/>
    <cellStyle name="40% - Accent6 74" xfId="4559"/>
    <cellStyle name="40% - Accent6 74 2" xfId="4560"/>
    <cellStyle name="40% - Accent6 75" xfId="4561"/>
    <cellStyle name="40% - Accent6 75 2" xfId="4562"/>
    <cellStyle name="40% - Accent6 76" xfId="4563"/>
    <cellStyle name="40% - Accent6 76 2" xfId="4564"/>
    <cellStyle name="40% - Accent6 77" xfId="4565"/>
    <cellStyle name="40% - Accent6 77 2" xfId="4566"/>
    <cellStyle name="40% - Accent6 78" xfId="4567"/>
    <cellStyle name="40% - Accent6 78 2" xfId="4568"/>
    <cellStyle name="40% - Accent6 79" xfId="4569"/>
    <cellStyle name="40% - Accent6 79 2" xfId="4570"/>
    <cellStyle name="40% - Accent6 8" xfId="4571"/>
    <cellStyle name="40% - Accent6 8 2" xfId="4572"/>
    <cellStyle name="40% - Accent6 8 3" xfId="4573"/>
    <cellStyle name="40% - Accent6 80" xfId="4574"/>
    <cellStyle name="40% - Accent6 80 2" xfId="4575"/>
    <cellStyle name="40% - Accent6 81" xfId="4576"/>
    <cellStyle name="40% - Accent6 81 2" xfId="4577"/>
    <cellStyle name="40% - Accent6 82" xfId="4578"/>
    <cellStyle name="40% - Accent6 82 2" xfId="4579"/>
    <cellStyle name="40% - Accent6 83" xfId="4580"/>
    <cellStyle name="40% - Accent6 83 2" xfId="4581"/>
    <cellStyle name="40% - Accent6 84" xfId="4582"/>
    <cellStyle name="40% - Accent6 84 2" xfId="4583"/>
    <cellStyle name="40% - Accent6 85" xfId="4584"/>
    <cellStyle name="40% - Accent6 85 2" xfId="4585"/>
    <cellStyle name="40% - Accent6 86" xfId="4586"/>
    <cellStyle name="40% - Accent6 86 2" xfId="4587"/>
    <cellStyle name="40% - Accent6 87" xfId="4588"/>
    <cellStyle name="40% - Accent6 87 2" xfId="4589"/>
    <cellStyle name="40% - Accent6 88" xfId="4590"/>
    <cellStyle name="40% - Accent6 88 2" xfId="4591"/>
    <cellStyle name="40% - Accent6 89" xfId="4592"/>
    <cellStyle name="40% - Accent6 89 2" xfId="4593"/>
    <cellStyle name="40% - Accent6 9" xfId="4594"/>
    <cellStyle name="40% - Accent6 9 2" xfId="4595"/>
    <cellStyle name="40% - Accent6 9 3" xfId="4596"/>
    <cellStyle name="40% - Accent6 90" xfId="4597"/>
    <cellStyle name="40% - Accent6 90 2" xfId="4598"/>
    <cellStyle name="40% - Accent6 91" xfId="4599"/>
    <cellStyle name="40% - Accent6 91 2" xfId="4600"/>
    <cellStyle name="40% - Accent6 92" xfId="4601"/>
    <cellStyle name="40% - Accent6 92 2" xfId="4602"/>
    <cellStyle name="40% - Accent6 93" xfId="4603"/>
    <cellStyle name="40% - Accent6 93 2" xfId="4604"/>
    <cellStyle name="40% - Accent6 94" xfId="4605"/>
    <cellStyle name="40% - Accent6 94 2" xfId="4606"/>
    <cellStyle name="40% - Accent6 95" xfId="4607"/>
    <cellStyle name="40% - Accent6 95 2" xfId="4608"/>
    <cellStyle name="40% - Accent6 96" xfId="4609"/>
    <cellStyle name="40% - Accent6 96 2" xfId="4610"/>
    <cellStyle name="40% - Accent6 97" xfId="4611"/>
    <cellStyle name="40% - Accent6 97 2" xfId="4612"/>
    <cellStyle name="40% - Accent6 98" xfId="4613"/>
    <cellStyle name="40% - Accent6 98 2" xfId="4614"/>
    <cellStyle name="40% - Accent6 99" xfId="4615"/>
    <cellStyle name="40% - Accent6 99 2" xfId="4616"/>
    <cellStyle name="60% - Accent1 10" xfId="4617"/>
    <cellStyle name="60% - Accent1 10 2" xfId="4618"/>
    <cellStyle name="60% - Accent1 100" xfId="4619"/>
    <cellStyle name="60% - Accent1 101" xfId="4620"/>
    <cellStyle name="60% - Accent1 102" xfId="4621"/>
    <cellStyle name="60% - Accent1 103" xfId="4622"/>
    <cellStyle name="60% - Accent1 104" xfId="4623"/>
    <cellStyle name="60% - Accent1 105" xfId="4624"/>
    <cellStyle name="60% - Accent1 106" xfId="4625"/>
    <cellStyle name="60% - Accent1 107" xfId="4626"/>
    <cellStyle name="60% - Accent1 108" xfId="4627"/>
    <cellStyle name="60% - Accent1 109" xfId="4628"/>
    <cellStyle name="60% - Accent1 11" xfId="4629"/>
    <cellStyle name="60% - Accent1 11 2" xfId="4630"/>
    <cellStyle name="60% - Accent1 110" xfId="4631"/>
    <cellStyle name="60% - Accent1 111" xfId="4632"/>
    <cellStyle name="60% - Accent1 112" xfId="4633"/>
    <cellStyle name="60% - Accent1 113" xfId="4634"/>
    <cellStyle name="60% - Accent1 114" xfId="4635"/>
    <cellStyle name="60% - Accent1 115" xfId="4636"/>
    <cellStyle name="60% - Accent1 116" xfId="4637"/>
    <cellStyle name="60% - Accent1 117" xfId="4638"/>
    <cellStyle name="60% - Accent1 118" xfId="4639"/>
    <cellStyle name="60% - Accent1 12" xfId="4640"/>
    <cellStyle name="60% - Accent1 12 2" xfId="4641"/>
    <cellStyle name="60% - Accent1 13" xfId="4642"/>
    <cellStyle name="60% - Accent1 13 2" xfId="4643"/>
    <cellStyle name="60% - Accent1 14" xfId="4644"/>
    <cellStyle name="60% - Accent1 14 2" xfId="4645"/>
    <cellStyle name="60% - Accent1 15" xfId="4646"/>
    <cellStyle name="60% - Accent1 15 2" xfId="4647"/>
    <cellStyle name="60% - Accent1 16" xfId="4648"/>
    <cellStyle name="60% - Accent1 16 2" xfId="4649"/>
    <cellStyle name="60% - Accent1 17" xfId="4650"/>
    <cellStyle name="60% - Accent1 17 2" xfId="4651"/>
    <cellStyle name="60% - Accent1 18" xfId="4652"/>
    <cellStyle name="60% - Accent1 18 2" xfId="4653"/>
    <cellStyle name="60% - Accent1 19" xfId="4654"/>
    <cellStyle name="60% - Accent1 19 2" xfId="4655"/>
    <cellStyle name="60% - Accent1 2" xfId="4656"/>
    <cellStyle name="60% - Accent1 2 2" xfId="4657"/>
    <cellStyle name="60% - Accent1 2 3" xfId="4658"/>
    <cellStyle name="60% - Accent1 20" xfId="4659"/>
    <cellStyle name="60% - Accent1 20 2" xfId="4660"/>
    <cellStyle name="60% - Accent1 21" xfId="4661"/>
    <cellStyle name="60% - Accent1 21 2" xfId="4662"/>
    <cellStyle name="60% - Accent1 22" xfId="4663"/>
    <cellStyle name="60% - Accent1 22 2" xfId="4664"/>
    <cellStyle name="60% - Accent1 23" xfId="4665"/>
    <cellStyle name="60% - Accent1 23 2" xfId="4666"/>
    <cellStyle name="60% - Accent1 24" xfId="4667"/>
    <cellStyle name="60% - Accent1 24 2" xfId="4668"/>
    <cellStyle name="60% - Accent1 25" xfId="4669"/>
    <cellStyle name="60% - Accent1 25 2" xfId="4670"/>
    <cellStyle name="60% - Accent1 26" xfId="4671"/>
    <cellStyle name="60% - Accent1 26 2" xfId="4672"/>
    <cellStyle name="60% - Accent1 27" xfId="4673"/>
    <cellStyle name="60% - Accent1 27 2" xfId="4674"/>
    <cellStyle name="60% - Accent1 28" xfId="4675"/>
    <cellStyle name="60% - Accent1 28 2" xfId="4676"/>
    <cellStyle name="60% - Accent1 29" xfId="4677"/>
    <cellStyle name="60% - Accent1 29 2" xfId="4678"/>
    <cellStyle name="60% - Accent1 3" xfId="4679"/>
    <cellStyle name="60% - Accent1 3 2" xfId="4680"/>
    <cellStyle name="60% - Accent1 30" xfId="4681"/>
    <cellStyle name="60% - Accent1 30 2" xfId="4682"/>
    <cellStyle name="60% - Accent1 31" xfId="4683"/>
    <cellStyle name="60% - Accent1 31 2" xfId="4684"/>
    <cellStyle name="60% - Accent1 32" xfId="4685"/>
    <cellStyle name="60% - Accent1 32 2" xfId="4686"/>
    <cellStyle name="60% - Accent1 33" xfId="4687"/>
    <cellStyle name="60% - Accent1 33 2" xfId="4688"/>
    <cellStyle name="60% - Accent1 34" xfId="4689"/>
    <cellStyle name="60% - Accent1 34 2" xfId="4690"/>
    <cellStyle name="60% - Accent1 35" xfId="4691"/>
    <cellStyle name="60% - Accent1 35 2" xfId="4692"/>
    <cellStyle name="60% - Accent1 36" xfId="4693"/>
    <cellStyle name="60% - Accent1 36 2" xfId="4694"/>
    <cellStyle name="60% - Accent1 37" xfId="4695"/>
    <cellStyle name="60% - Accent1 37 2" xfId="4696"/>
    <cellStyle name="60% - Accent1 38" xfId="4697"/>
    <cellStyle name="60% - Accent1 38 2" xfId="4698"/>
    <cellStyle name="60% - Accent1 39" xfId="4699"/>
    <cellStyle name="60% - Accent1 39 2" xfId="4700"/>
    <cellStyle name="60% - Accent1 4" xfId="4701"/>
    <cellStyle name="60% - Accent1 4 2" xfId="4702"/>
    <cellStyle name="60% - Accent1 40" xfId="4703"/>
    <cellStyle name="60% - Accent1 40 2" xfId="4704"/>
    <cellStyle name="60% - Accent1 41" xfId="4705"/>
    <cellStyle name="60% - Accent1 41 2" xfId="4706"/>
    <cellStyle name="60% - Accent1 42" xfId="4707"/>
    <cellStyle name="60% - Accent1 42 2" xfId="4708"/>
    <cellStyle name="60% - Accent1 43" xfId="4709"/>
    <cellStyle name="60% - Accent1 43 2" xfId="4710"/>
    <cellStyle name="60% - Accent1 44" xfId="4711"/>
    <cellStyle name="60% - Accent1 44 2" xfId="4712"/>
    <cellStyle name="60% - Accent1 45" xfId="4713"/>
    <cellStyle name="60% - Accent1 45 2" xfId="4714"/>
    <cellStyle name="60% - Accent1 46" xfId="4715"/>
    <cellStyle name="60% - Accent1 46 2" xfId="4716"/>
    <cellStyle name="60% - Accent1 47" xfId="4717"/>
    <cellStyle name="60% - Accent1 47 2" xfId="4718"/>
    <cellStyle name="60% - Accent1 48" xfId="4719"/>
    <cellStyle name="60% - Accent1 48 2" xfId="4720"/>
    <cellStyle name="60% - Accent1 49" xfId="4721"/>
    <cellStyle name="60% - Accent1 49 2" xfId="4722"/>
    <cellStyle name="60% - Accent1 5" xfId="4723"/>
    <cellStyle name="60% - Accent1 5 2" xfId="4724"/>
    <cellStyle name="60% - Accent1 50" xfId="4725"/>
    <cellStyle name="60% - Accent1 50 2" xfId="4726"/>
    <cellStyle name="60% - Accent1 51" xfId="4727"/>
    <cellStyle name="60% - Accent1 51 2" xfId="4728"/>
    <cellStyle name="60% - Accent1 52" xfId="4729"/>
    <cellStyle name="60% - Accent1 52 2" xfId="4730"/>
    <cellStyle name="60% - Accent1 53" xfId="4731"/>
    <cellStyle name="60% - Accent1 53 2" xfId="4732"/>
    <cellStyle name="60% - Accent1 54" xfId="4733"/>
    <cellStyle name="60% - Accent1 54 2" xfId="4734"/>
    <cellStyle name="60% - Accent1 55" xfId="4735"/>
    <cellStyle name="60% - Accent1 55 2" xfId="4736"/>
    <cellStyle name="60% - Accent1 56" xfId="4737"/>
    <cellStyle name="60% - Accent1 56 2" xfId="4738"/>
    <cellStyle name="60% - Accent1 57" xfId="4739"/>
    <cellStyle name="60% - Accent1 57 2" xfId="4740"/>
    <cellStyle name="60% - Accent1 58" xfId="4741"/>
    <cellStyle name="60% - Accent1 58 2" xfId="4742"/>
    <cellStyle name="60% - Accent1 59" xfId="4743"/>
    <cellStyle name="60% - Accent1 59 2" xfId="4744"/>
    <cellStyle name="60% - Accent1 6" xfId="4745"/>
    <cellStyle name="60% - Accent1 6 2" xfId="4746"/>
    <cellStyle name="60% - Accent1 60" xfId="4747"/>
    <cellStyle name="60% - Accent1 60 2" xfId="4748"/>
    <cellStyle name="60% - Accent1 61" xfId="4749"/>
    <cellStyle name="60% - Accent1 61 2" xfId="4750"/>
    <cellStyle name="60% - Accent1 62" xfId="4751"/>
    <cellStyle name="60% - Accent1 62 2" xfId="4752"/>
    <cellStyle name="60% - Accent1 63" xfId="4753"/>
    <cellStyle name="60% - Accent1 63 2" xfId="4754"/>
    <cellStyle name="60% - Accent1 64" xfId="4755"/>
    <cellStyle name="60% - Accent1 64 2" xfId="4756"/>
    <cellStyle name="60% - Accent1 65" xfId="4757"/>
    <cellStyle name="60% - Accent1 65 2" xfId="4758"/>
    <cellStyle name="60% - Accent1 66" xfId="4759"/>
    <cellStyle name="60% - Accent1 66 2" xfId="4760"/>
    <cellStyle name="60% - Accent1 67" xfId="4761"/>
    <cellStyle name="60% - Accent1 67 2" xfId="4762"/>
    <cellStyle name="60% - Accent1 68" xfId="4763"/>
    <cellStyle name="60% - Accent1 68 2" xfId="4764"/>
    <cellStyle name="60% - Accent1 69" xfId="4765"/>
    <cellStyle name="60% - Accent1 69 2" xfId="4766"/>
    <cellStyle name="60% - Accent1 7" xfId="4767"/>
    <cellStyle name="60% - Accent1 7 2" xfId="4768"/>
    <cellStyle name="60% - Accent1 70" xfId="4769"/>
    <cellStyle name="60% - Accent1 70 2" xfId="4770"/>
    <cellStyle name="60% - Accent1 71" xfId="4771"/>
    <cellStyle name="60% - Accent1 71 2" xfId="4772"/>
    <cellStyle name="60% - Accent1 72" xfId="4773"/>
    <cellStyle name="60% - Accent1 73" xfId="4774"/>
    <cellStyle name="60% - Accent1 74" xfId="4775"/>
    <cellStyle name="60% - Accent1 75" xfId="4776"/>
    <cellStyle name="60% - Accent1 76" xfId="4777"/>
    <cellStyle name="60% - Accent1 77" xfId="4778"/>
    <cellStyle name="60% - Accent1 78" xfId="4779"/>
    <cellStyle name="60% - Accent1 79" xfId="4780"/>
    <cellStyle name="60% - Accent1 8" xfId="4781"/>
    <cellStyle name="60% - Accent1 8 2" xfId="4782"/>
    <cellStyle name="60% - Accent1 80" xfId="4783"/>
    <cellStyle name="60% - Accent1 81" xfId="4784"/>
    <cellStyle name="60% - Accent1 82" xfId="4785"/>
    <cellStyle name="60% - Accent1 83" xfId="4786"/>
    <cellStyle name="60% - Accent1 84" xfId="4787"/>
    <cellStyle name="60% - Accent1 85" xfId="4788"/>
    <cellStyle name="60% - Accent1 86" xfId="4789"/>
    <cellStyle name="60% - Accent1 87" xfId="4790"/>
    <cellStyle name="60% - Accent1 88" xfId="4791"/>
    <cellStyle name="60% - Accent1 89" xfId="4792"/>
    <cellStyle name="60% - Accent1 9" xfId="4793"/>
    <cellStyle name="60% - Accent1 9 2" xfId="4794"/>
    <cellStyle name="60% - Accent1 90" xfId="4795"/>
    <cellStyle name="60% - Accent1 91" xfId="4796"/>
    <cellStyle name="60% - Accent1 92" xfId="4797"/>
    <cellStyle name="60% - Accent1 93" xfId="4798"/>
    <cellStyle name="60% - Accent1 94" xfId="4799"/>
    <cellStyle name="60% - Accent1 95" xfId="4800"/>
    <cellStyle name="60% - Accent1 96" xfId="4801"/>
    <cellStyle name="60% - Accent1 97" xfId="4802"/>
    <cellStyle name="60% - Accent1 98" xfId="4803"/>
    <cellStyle name="60% - Accent1 99" xfId="4804"/>
    <cellStyle name="60% - Accent2 10" xfId="4805"/>
    <cellStyle name="60% - Accent2 10 2" xfId="4806"/>
    <cellStyle name="60% - Accent2 100" xfId="4807"/>
    <cellStyle name="60% - Accent2 101" xfId="4808"/>
    <cellStyle name="60% - Accent2 102" xfId="4809"/>
    <cellStyle name="60% - Accent2 103" xfId="4810"/>
    <cellStyle name="60% - Accent2 104" xfId="4811"/>
    <cellStyle name="60% - Accent2 105" xfId="4812"/>
    <cellStyle name="60% - Accent2 106" xfId="4813"/>
    <cellStyle name="60% - Accent2 107" xfId="4814"/>
    <cellStyle name="60% - Accent2 108" xfId="4815"/>
    <cellStyle name="60% - Accent2 109" xfId="4816"/>
    <cellStyle name="60% - Accent2 11" xfId="4817"/>
    <cellStyle name="60% - Accent2 11 2" xfId="4818"/>
    <cellStyle name="60% - Accent2 110" xfId="4819"/>
    <cellStyle name="60% - Accent2 111" xfId="4820"/>
    <cellStyle name="60% - Accent2 112" xfId="4821"/>
    <cellStyle name="60% - Accent2 113" xfId="4822"/>
    <cellStyle name="60% - Accent2 114" xfId="4823"/>
    <cellStyle name="60% - Accent2 115" xfId="4824"/>
    <cellStyle name="60% - Accent2 116" xfId="4825"/>
    <cellStyle name="60% - Accent2 117" xfId="4826"/>
    <cellStyle name="60% - Accent2 118" xfId="4827"/>
    <cellStyle name="60% - Accent2 12" xfId="4828"/>
    <cellStyle name="60% - Accent2 12 2" xfId="4829"/>
    <cellStyle name="60% - Accent2 13" xfId="4830"/>
    <cellStyle name="60% - Accent2 13 2" xfId="4831"/>
    <cellStyle name="60% - Accent2 14" xfId="4832"/>
    <cellStyle name="60% - Accent2 14 2" xfId="4833"/>
    <cellStyle name="60% - Accent2 15" xfId="4834"/>
    <cellStyle name="60% - Accent2 15 2" xfId="4835"/>
    <cellStyle name="60% - Accent2 16" xfId="4836"/>
    <cellStyle name="60% - Accent2 16 2" xfId="4837"/>
    <cellStyle name="60% - Accent2 17" xfId="4838"/>
    <cellStyle name="60% - Accent2 17 2" xfId="4839"/>
    <cellStyle name="60% - Accent2 18" xfId="4840"/>
    <cellStyle name="60% - Accent2 18 2" xfId="4841"/>
    <cellStyle name="60% - Accent2 19" xfId="4842"/>
    <cellStyle name="60% - Accent2 19 2" xfId="4843"/>
    <cellStyle name="60% - Accent2 2" xfId="4844"/>
    <cellStyle name="60% - Accent2 2 2" xfId="4845"/>
    <cellStyle name="60% - Accent2 2 3" xfId="4846"/>
    <cellStyle name="60% - Accent2 20" xfId="4847"/>
    <cellStyle name="60% - Accent2 20 2" xfId="4848"/>
    <cellStyle name="60% - Accent2 21" xfId="4849"/>
    <cellStyle name="60% - Accent2 21 2" xfId="4850"/>
    <cellStyle name="60% - Accent2 22" xfId="4851"/>
    <cellStyle name="60% - Accent2 22 2" xfId="4852"/>
    <cellStyle name="60% - Accent2 23" xfId="4853"/>
    <cellStyle name="60% - Accent2 23 2" xfId="4854"/>
    <cellStyle name="60% - Accent2 24" xfId="4855"/>
    <cellStyle name="60% - Accent2 24 2" xfId="4856"/>
    <cellStyle name="60% - Accent2 25" xfId="4857"/>
    <cellStyle name="60% - Accent2 25 2" xfId="4858"/>
    <cellStyle name="60% - Accent2 26" xfId="4859"/>
    <cellStyle name="60% - Accent2 26 2" xfId="4860"/>
    <cellStyle name="60% - Accent2 27" xfId="4861"/>
    <cellStyle name="60% - Accent2 27 2" xfId="4862"/>
    <cellStyle name="60% - Accent2 28" xfId="4863"/>
    <cellStyle name="60% - Accent2 28 2" xfId="4864"/>
    <cellStyle name="60% - Accent2 29" xfId="4865"/>
    <cellStyle name="60% - Accent2 29 2" xfId="4866"/>
    <cellStyle name="60% - Accent2 3" xfId="4867"/>
    <cellStyle name="60% - Accent2 3 2" xfId="4868"/>
    <cellStyle name="60% - Accent2 30" xfId="4869"/>
    <cellStyle name="60% - Accent2 30 2" xfId="4870"/>
    <cellStyle name="60% - Accent2 31" xfId="4871"/>
    <cellStyle name="60% - Accent2 31 2" xfId="4872"/>
    <cellStyle name="60% - Accent2 32" xfId="4873"/>
    <cellStyle name="60% - Accent2 32 2" xfId="4874"/>
    <cellStyle name="60% - Accent2 33" xfId="4875"/>
    <cellStyle name="60% - Accent2 33 2" xfId="4876"/>
    <cellStyle name="60% - Accent2 34" xfId="4877"/>
    <cellStyle name="60% - Accent2 34 2" xfId="4878"/>
    <cellStyle name="60% - Accent2 35" xfId="4879"/>
    <cellStyle name="60% - Accent2 35 2" xfId="4880"/>
    <cellStyle name="60% - Accent2 36" xfId="4881"/>
    <cellStyle name="60% - Accent2 36 2" xfId="4882"/>
    <cellStyle name="60% - Accent2 37" xfId="4883"/>
    <cellStyle name="60% - Accent2 37 2" xfId="4884"/>
    <cellStyle name="60% - Accent2 38" xfId="4885"/>
    <cellStyle name="60% - Accent2 38 2" xfId="4886"/>
    <cellStyle name="60% - Accent2 39" xfId="4887"/>
    <cellStyle name="60% - Accent2 39 2" xfId="4888"/>
    <cellStyle name="60% - Accent2 4" xfId="4889"/>
    <cellStyle name="60% - Accent2 4 2" xfId="4890"/>
    <cellStyle name="60% - Accent2 40" xfId="4891"/>
    <cellStyle name="60% - Accent2 40 2" xfId="4892"/>
    <cellStyle name="60% - Accent2 41" xfId="4893"/>
    <cellStyle name="60% - Accent2 41 2" xfId="4894"/>
    <cellStyle name="60% - Accent2 42" xfId="4895"/>
    <cellStyle name="60% - Accent2 42 2" xfId="4896"/>
    <cellStyle name="60% - Accent2 43" xfId="4897"/>
    <cellStyle name="60% - Accent2 43 2" xfId="4898"/>
    <cellStyle name="60% - Accent2 44" xfId="4899"/>
    <cellStyle name="60% - Accent2 44 2" xfId="4900"/>
    <cellStyle name="60% - Accent2 45" xfId="4901"/>
    <cellStyle name="60% - Accent2 45 2" xfId="4902"/>
    <cellStyle name="60% - Accent2 46" xfId="4903"/>
    <cellStyle name="60% - Accent2 46 2" xfId="4904"/>
    <cellStyle name="60% - Accent2 47" xfId="4905"/>
    <cellStyle name="60% - Accent2 47 2" xfId="4906"/>
    <cellStyle name="60% - Accent2 48" xfId="4907"/>
    <cellStyle name="60% - Accent2 48 2" xfId="4908"/>
    <cellStyle name="60% - Accent2 49" xfId="4909"/>
    <cellStyle name="60% - Accent2 49 2" xfId="4910"/>
    <cellStyle name="60% - Accent2 5" xfId="4911"/>
    <cellStyle name="60% - Accent2 5 2" xfId="4912"/>
    <cellStyle name="60% - Accent2 50" xfId="4913"/>
    <cellStyle name="60% - Accent2 50 2" xfId="4914"/>
    <cellStyle name="60% - Accent2 51" xfId="4915"/>
    <cellStyle name="60% - Accent2 51 2" xfId="4916"/>
    <cellStyle name="60% - Accent2 52" xfId="4917"/>
    <cellStyle name="60% - Accent2 52 2" xfId="4918"/>
    <cellStyle name="60% - Accent2 53" xfId="4919"/>
    <cellStyle name="60% - Accent2 53 2" xfId="4920"/>
    <cellStyle name="60% - Accent2 54" xfId="4921"/>
    <cellStyle name="60% - Accent2 54 2" xfId="4922"/>
    <cellStyle name="60% - Accent2 55" xfId="4923"/>
    <cellStyle name="60% - Accent2 55 2" xfId="4924"/>
    <cellStyle name="60% - Accent2 56" xfId="4925"/>
    <cellStyle name="60% - Accent2 56 2" xfId="4926"/>
    <cellStyle name="60% - Accent2 57" xfId="4927"/>
    <cellStyle name="60% - Accent2 57 2" xfId="4928"/>
    <cellStyle name="60% - Accent2 58" xfId="4929"/>
    <cellStyle name="60% - Accent2 58 2" xfId="4930"/>
    <cellStyle name="60% - Accent2 59" xfId="4931"/>
    <cellStyle name="60% - Accent2 59 2" xfId="4932"/>
    <cellStyle name="60% - Accent2 6" xfId="4933"/>
    <cellStyle name="60% - Accent2 6 2" xfId="4934"/>
    <cellStyle name="60% - Accent2 60" xfId="4935"/>
    <cellStyle name="60% - Accent2 60 2" xfId="4936"/>
    <cellStyle name="60% - Accent2 61" xfId="4937"/>
    <cellStyle name="60% - Accent2 61 2" xfId="4938"/>
    <cellStyle name="60% - Accent2 62" xfId="4939"/>
    <cellStyle name="60% - Accent2 62 2" xfId="4940"/>
    <cellStyle name="60% - Accent2 63" xfId="4941"/>
    <cellStyle name="60% - Accent2 63 2" xfId="4942"/>
    <cellStyle name="60% - Accent2 64" xfId="4943"/>
    <cellStyle name="60% - Accent2 64 2" xfId="4944"/>
    <cellStyle name="60% - Accent2 65" xfId="4945"/>
    <cellStyle name="60% - Accent2 65 2" xfId="4946"/>
    <cellStyle name="60% - Accent2 66" xfId="4947"/>
    <cellStyle name="60% - Accent2 66 2" xfId="4948"/>
    <cellStyle name="60% - Accent2 67" xfId="4949"/>
    <cellStyle name="60% - Accent2 67 2" xfId="4950"/>
    <cellStyle name="60% - Accent2 68" xfId="4951"/>
    <cellStyle name="60% - Accent2 68 2" xfId="4952"/>
    <cellStyle name="60% - Accent2 69" xfId="4953"/>
    <cellStyle name="60% - Accent2 69 2" xfId="4954"/>
    <cellStyle name="60% - Accent2 7" xfId="4955"/>
    <cellStyle name="60% - Accent2 7 2" xfId="4956"/>
    <cellStyle name="60% - Accent2 70" xfId="4957"/>
    <cellStyle name="60% - Accent2 70 2" xfId="4958"/>
    <cellStyle name="60% - Accent2 71" xfId="4959"/>
    <cellStyle name="60% - Accent2 71 2" xfId="4960"/>
    <cellStyle name="60% - Accent2 72" xfId="4961"/>
    <cellStyle name="60% - Accent2 73" xfId="4962"/>
    <cellStyle name="60% - Accent2 74" xfId="4963"/>
    <cellStyle name="60% - Accent2 75" xfId="4964"/>
    <cellStyle name="60% - Accent2 76" xfId="4965"/>
    <cellStyle name="60% - Accent2 77" xfId="4966"/>
    <cellStyle name="60% - Accent2 78" xfId="4967"/>
    <cellStyle name="60% - Accent2 79" xfId="4968"/>
    <cellStyle name="60% - Accent2 8" xfId="4969"/>
    <cellStyle name="60% - Accent2 8 2" xfId="4970"/>
    <cellStyle name="60% - Accent2 80" xfId="4971"/>
    <cellStyle name="60% - Accent2 81" xfId="4972"/>
    <cellStyle name="60% - Accent2 82" xfId="4973"/>
    <cellStyle name="60% - Accent2 83" xfId="4974"/>
    <cellStyle name="60% - Accent2 84" xfId="4975"/>
    <cellStyle name="60% - Accent2 85" xfId="4976"/>
    <cellStyle name="60% - Accent2 86" xfId="4977"/>
    <cellStyle name="60% - Accent2 87" xfId="4978"/>
    <cellStyle name="60% - Accent2 88" xfId="4979"/>
    <cellStyle name="60% - Accent2 89" xfId="4980"/>
    <cellStyle name="60% - Accent2 9" xfId="4981"/>
    <cellStyle name="60% - Accent2 9 2" xfId="4982"/>
    <cellStyle name="60% - Accent2 90" xfId="4983"/>
    <cellStyle name="60% - Accent2 91" xfId="4984"/>
    <cellStyle name="60% - Accent2 92" xfId="4985"/>
    <cellStyle name="60% - Accent2 93" xfId="4986"/>
    <cellStyle name="60% - Accent2 94" xfId="4987"/>
    <cellStyle name="60% - Accent2 95" xfId="4988"/>
    <cellStyle name="60% - Accent2 96" xfId="4989"/>
    <cellStyle name="60% - Accent2 97" xfId="4990"/>
    <cellStyle name="60% - Accent2 98" xfId="4991"/>
    <cellStyle name="60% - Accent2 99" xfId="4992"/>
    <cellStyle name="60% - Accent3 10" xfId="4993"/>
    <cellStyle name="60% - Accent3 10 2" xfId="4994"/>
    <cellStyle name="60% - Accent3 100" xfId="4995"/>
    <cellStyle name="60% - Accent3 101" xfId="4996"/>
    <cellStyle name="60% - Accent3 102" xfId="4997"/>
    <cellStyle name="60% - Accent3 103" xfId="4998"/>
    <cellStyle name="60% - Accent3 104" xfId="4999"/>
    <cellStyle name="60% - Accent3 105" xfId="5000"/>
    <cellStyle name="60% - Accent3 106" xfId="5001"/>
    <cellStyle name="60% - Accent3 107" xfId="5002"/>
    <cellStyle name="60% - Accent3 108" xfId="5003"/>
    <cellStyle name="60% - Accent3 109" xfId="5004"/>
    <cellStyle name="60% - Accent3 11" xfId="5005"/>
    <cellStyle name="60% - Accent3 11 2" xfId="5006"/>
    <cellStyle name="60% - Accent3 110" xfId="5007"/>
    <cellStyle name="60% - Accent3 111" xfId="5008"/>
    <cellStyle name="60% - Accent3 112" xfId="5009"/>
    <cellStyle name="60% - Accent3 113" xfId="5010"/>
    <cellStyle name="60% - Accent3 114" xfId="5011"/>
    <cellStyle name="60% - Accent3 115" xfId="5012"/>
    <cellStyle name="60% - Accent3 116" xfId="5013"/>
    <cellStyle name="60% - Accent3 117" xfId="5014"/>
    <cellStyle name="60% - Accent3 118" xfId="5015"/>
    <cellStyle name="60% - Accent3 12" xfId="5016"/>
    <cellStyle name="60% - Accent3 12 2" xfId="5017"/>
    <cellStyle name="60% - Accent3 13" xfId="5018"/>
    <cellStyle name="60% - Accent3 13 2" xfId="5019"/>
    <cellStyle name="60% - Accent3 14" xfId="5020"/>
    <cellStyle name="60% - Accent3 14 2" xfId="5021"/>
    <cellStyle name="60% - Accent3 15" xfId="5022"/>
    <cellStyle name="60% - Accent3 15 2" xfId="5023"/>
    <cellStyle name="60% - Accent3 16" xfId="5024"/>
    <cellStyle name="60% - Accent3 16 2" xfId="5025"/>
    <cellStyle name="60% - Accent3 17" xfId="5026"/>
    <cellStyle name="60% - Accent3 17 2" xfId="5027"/>
    <cellStyle name="60% - Accent3 18" xfId="5028"/>
    <cellStyle name="60% - Accent3 18 2" xfId="5029"/>
    <cellStyle name="60% - Accent3 19" xfId="5030"/>
    <cellStyle name="60% - Accent3 19 2" xfId="5031"/>
    <cellStyle name="60% - Accent3 2" xfId="5032"/>
    <cellStyle name="60% - Accent3 2 2" xfId="5033"/>
    <cellStyle name="60% - Accent3 2 3" xfId="5034"/>
    <cellStyle name="60% - Accent3 20" xfId="5035"/>
    <cellStyle name="60% - Accent3 20 2" xfId="5036"/>
    <cellStyle name="60% - Accent3 21" xfId="5037"/>
    <cellStyle name="60% - Accent3 21 2" xfId="5038"/>
    <cellStyle name="60% - Accent3 22" xfId="5039"/>
    <cellStyle name="60% - Accent3 22 2" xfId="5040"/>
    <cellStyle name="60% - Accent3 23" xfId="5041"/>
    <cellStyle name="60% - Accent3 23 2" xfId="5042"/>
    <cellStyle name="60% - Accent3 24" xfId="5043"/>
    <cellStyle name="60% - Accent3 24 2" xfId="5044"/>
    <cellStyle name="60% - Accent3 25" xfId="5045"/>
    <cellStyle name="60% - Accent3 25 2" xfId="5046"/>
    <cellStyle name="60% - Accent3 26" xfId="5047"/>
    <cellStyle name="60% - Accent3 26 2" xfId="5048"/>
    <cellStyle name="60% - Accent3 27" xfId="5049"/>
    <cellStyle name="60% - Accent3 27 2" xfId="5050"/>
    <cellStyle name="60% - Accent3 28" xfId="5051"/>
    <cellStyle name="60% - Accent3 28 2" xfId="5052"/>
    <cellStyle name="60% - Accent3 29" xfId="5053"/>
    <cellStyle name="60% - Accent3 29 2" xfId="5054"/>
    <cellStyle name="60% - Accent3 3" xfId="5055"/>
    <cellStyle name="60% - Accent3 3 2" xfId="5056"/>
    <cellStyle name="60% - Accent3 30" xfId="5057"/>
    <cellStyle name="60% - Accent3 30 2" xfId="5058"/>
    <cellStyle name="60% - Accent3 31" xfId="5059"/>
    <cellStyle name="60% - Accent3 31 2" xfId="5060"/>
    <cellStyle name="60% - Accent3 32" xfId="5061"/>
    <cellStyle name="60% - Accent3 32 2" xfId="5062"/>
    <cellStyle name="60% - Accent3 33" xfId="5063"/>
    <cellStyle name="60% - Accent3 33 2" xfId="5064"/>
    <cellStyle name="60% - Accent3 34" xfId="5065"/>
    <cellStyle name="60% - Accent3 34 2" xfId="5066"/>
    <cellStyle name="60% - Accent3 35" xfId="5067"/>
    <cellStyle name="60% - Accent3 35 2" xfId="5068"/>
    <cellStyle name="60% - Accent3 36" xfId="5069"/>
    <cellStyle name="60% - Accent3 36 2" xfId="5070"/>
    <cellStyle name="60% - Accent3 37" xfId="5071"/>
    <cellStyle name="60% - Accent3 37 2" xfId="5072"/>
    <cellStyle name="60% - Accent3 38" xfId="5073"/>
    <cellStyle name="60% - Accent3 38 2" xfId="5074"/>
    <cellStyle name="60% - Accent3 39" xfId="5075"/>
    <cellStyle name="60% - Accent3 39 2" xfId="5076"/>
    <cellStyle name="60% - Accent3 4" xfId="5077"/>
    <cellStyle name="60% - Accent3 4 2" xfId="5078"/>
    <cellStyle name="60% - Accent3 40" xfId="5079"/>
    <cellStyle name="60% - Accent3 40 2" xfId="5080"/>
    <cellStyle name="60% - Accent3 41" xfId="5081"/>
    <cellStyle name="60% - Accent3 41 2" xfId="5082"/>
    <cellStyle name="60% - Accent3 42" xfId="5083"/>
    <cellStyle name="60% - Accent3 42 2" xfId="5084"/>
    <cellStyle name="60% - Accent3 43" xfId="5085"/>
    <cellStyle name="60% - Accent3 43 2" xfId="5086"/>
    <cellStyle name="60% - Accent3 44" xfId="5087"/>
    <cellStyle name="60% - Accent3 44 2" xfId="5088"/>
    <cellStyle name="60% - Accent3 45" xfId="5089"/>
    <cellStyle name="60% - Accent3 45 2" xfId="5090"/>
    <cellStyle name="60% - Accent3 46" xfId="5091"/>
    <cellStyle name="60% - Accent3 46 2" xfId="5092"/>
    <cellStyle name="60% - Accent3 47" xfId="5093"/>
    <cellStyle name="60% - Accent3 47 2" xfId="5094"/>
    <cellStyle name="60% - Accent3 48" xfId="5095"/>
    <cellStyle name="60% - Accent3 48 2" xfId="5096"/>
    <cellStyle name="60% - Accent3 49" xfId="5097"/>
    <cellStyle name="60% - Accent3 49 2" xfId="5098"/>
    <cellStyle name="60% - Accent3 5" xfId="5099"/>
    <cellStyle name="60% - Accent3 5 2" xfId="5100"/>
    <cellStyle name="60% - Accent3 50" xfId="5101"/>
    <cellStyle name="60% - Accent3 50 2" xfId="5102"/>
    <cellStyle name="60% - Accent3 51" xfId="5103"/>
    <cellStyle name="60% - Accent3 51 2" xfId="5104"/>
    <cellStyle name="60% - Accent3 52" xfId="5105"/>
    <cellStyle name="60% - Accent3 52 2" xfId="5106"/>
    <cellStyle name="60% - Accent3 53" xfId="5107"/>
    <cellStyle name="60% - Accent3 53 2" xfId="5108"/>
    <cellStyle name="60% - Accent3 54" xfId="5109"/>
    <cellStyle name="60% - Accent3 54 2" xfId="5110"/>
    <cellStyle name="60% - Accent3 55" xfId="5111"/>
    <cellStyle name="60% - Accent3 55 2" xfId="5112"/>
    <cellStyle name="60% - Accent3 56" xfId="5113"/>
    <cellStyle name="60% - Accent3 56 2" xfId="5114"/>
    <cellStyle name="60% - Accent3 57" xfId="5115"/>
    <cellStyle name="60% - Accent3 57 2" xfId="5116"/>
    <cellStyle name="60% - Accent3 58" xfId="5117"/>
    <cellStyle name="60% - Accent3 58 2" xfId="5118"/>
    <cellStyle name="60% - Accent3 59" xfId="5119"/>
    <cellStyle name="60% - Accent3 59 2" xfId="5120"/>
    <cellStyle name="60% - Accent3 6" xfId="5121"/>
    <cellStyle name="60% - Accent3 6 2" xfId="5122"/>
    <cellStyle name="60% - Accent3 60" xfId="5123"/>
    <cellStyle name="60% - Accent3 60 2" xfId="5124"/>
    <cellStyle name="60% - Accent3 61" xfId="5125"/>
    <cellStyle name="60% - Accent3 61 2" xfId="5126"/>
    <cellStyle name="60% - Accent3 62" xfId="5127"/>
    <cellStyle name="60% - Accent3 62 2" xfId="5128"/>
    <cellStyle name="60% - Accent3 63" xfId="5129"/>
    <cellStyle name="60% - Accent3 63 2" xfId="5130"/>
    <cellStyle name="60% - Accent3 64" xfId="5131"/>
    <cellStyle name="60% - Accent3 64 2" xfId="5132"/>
    <cellStyle name="60% - Accent3 65" xfId="5133"/>
    <cellStyle name="60% - Accent3 65 2" xfId="5134"/>
    <cellStyle name="60% - Accent3 66" xfId="5135"/>
    <cellStyle name="60% - Accent3 66 2" xfId="5136"/>
    <cellStyle name="60% - Accent3 67" xfId="5137"/>
    <cellStyle name="60% - Accent3 67 2" xfId="5138"/>
    <cellStyle name="60% - Accent3 68" xfId="5139"/>
    <cellStyle name="60% - Accent3 68 2" xfId="5140"/>
    <cellStyle name="60% - Accent3 69" xfId="5141"/>
    <cellStyle name="60% - Accent3 69 2" xfId="5142"/>
    <cellStyle name="60% - Accent3 7" xfId="5143"/>
    <cellStyle name="60% - Accent3 7 2" xfId="5144"/>
    <cellStyle name="60% - Accent3 70" xfId="5145"/>
    <cellStyle name="60% - Accent3 70 2" xfId="5146"/>
    <cellStyle name="60% - Accent3 71" xfId="5147"/>
    <cellStyle name="60% - Accent3 71 2" xfId="5148"/>
    <cellStyle name="60% - Accent3 72" xfId="5149"/>
    <cellStyle name="60% - Accent3 73" xfId="5150"/>
    <cellStyle name="60% - Accent3 74" xfId="5151"/>
    <cellStyle name="60% - Accent3 75" xfId="5152"/>
    <cellStyle name="60% - Accent3 76" xfId="5153"/>
    <cellStyle name="60% - Accent3 77" xfId="5154"/>
    <cellStyle name="60% - Accent3 78" xfId="5155"/>
    <cellStyle name="60% - Accent3 79" xfId="5156"/>
    <cellStyle name="60% - Accent3 8" xfId="5157"/>
    <cellStyle name="60% - Accent3 8 2" xfId="5158"/>
    <cellStyle name="60% - Accent3 80" xfId="5159"/>
    <cellStyle name="60% - Accent3 81" xfId="5160"/>
    <cellStyle name="60% - Accent3 82" xfId="5161"/>
    <cellStyle name="60% - Accent3 83" xfId="5162"/>
    <cellStyle name="60% - Accent3 84" xfId="5163"/>
    <cellStyle name="60% - Accent3 85" xfId="5164"/>
    <cellStyle name="60% - Accent3 86" xfId="5165"/>
    <cellStyle name="60% - Accent3 87" xfId="5166"/>
    <cellStyle name="60% - Accent3 88" xfId="5167"/>
    <cellStyle name="60% - Accent3 89" xfId="5168"/>
    <cellStyle name="60% - Accent3 9" xfId="5169"/>
    <cellStyle name="60% - Accent3 9 2" xfId="5170"/>
    <cellStyle name="60% - Accent3 90" xfId="5171"/>
    <cellStyle name="60% - Accent3 91" xfId="5172"/>
    <cellStyle name="60% - Accent3 92" xfId="5173"/>
    <cellStyle name="60% - Accent3 93" xfId="5174"/>
    <cellStyle name="60% - Accent3 94" xfId="5175"/>
    <cellStyle name="60% - Accent3 95" xfId="5176"/>
    <cellStyle name="60% - Accent3 96" xfId="5177"/>
    <cellStyle name="60% - Accent3 97" xfId="5178"/>
    <cellStyle name="60% - Accent3 98" xfId="5179"/>
    <cellStyle name="60% - Accent3 99" xfId="5180"/>
    <cellStyle name="60% - Accent4 10" xfId="5181"/>
    <cellStyle name="60% - Accent4 10 2" xfId="5182"/>
    <cellStyle name="60% - Accent4 100" xfId="5183"/>
    <cellStyle name="60% - Accent4 101" xfId="5184"/>
    <cellStyle name="60% - Accent4 102" xfId="5185"/>
    <cellStyle name="60% - Accent4 103" xfId="5186"/>
    <cellStyle name="60% - Accent4 104" xfId="5187"/>
    <cellStyle name="60% - Accent4 105" xfId="5188"/>
    <cellStyle name="60% - Accent4 106" xfId="5189"/>
    <cellStyle name="60% - Accent4 107" xfId="5190"/>
    <cellStyle name="60% - Accent4 108" xfId="5191"/>
    <cellStyle name="60% - Accent4 109" xfId="5192"/>
    <cellStyle name="60% - Accent4 11" xfId="5193"/>
    <cellStyle name="60% - Accent4 11 2" xfId="5194"/>
    <cellStyle name="60% - Accent4 110" xfId="5195"/>
    <cellStyle name="60% - Accent4 111" xfId="5196"/>
    <cellStyle name="60% - Accent4 112" xfId="5197"/>
    <cellStyle name="60% - Accent4 113" xfId="5198"/>
    <cellStyle name="60% - Accent4 114" xfId="5199"/>
    <cellStyle name="60% - Accent4 115" xfId="5200"/>
    <cellStyle name="60% - Accent4 116" xfId="5201"/>
    <cellStyle name="60% - Accent4 117" xfId="5202"/>
    <cellStyle name="60% - Accent4 118" xfId="5203"/>
    <cellStyle name="60% - Accent4 12" xfId="5204"/>
    <cellStyle name="60% - Accent4 12 2" xfId="5205"/>
    <cellStyle name="60% - Accent4 13" xfId="5206"/>
    <cellStyle name="60% - Accent4 13 2" xfId="5207"/>
    <cellStyle name="60% - Accent4 14" xfId="5208"/>
    <cellStyle name="60% - Accent4 14 2" xfId="5209"/>
    <cellStyle name="60% - Accent4 15" xfId="5210"/>
    <cellStyle name="60% - Accent4 15 2" xfId="5211"/>
    <cellStyle name="60% - Accent4 16" xfId="5212"/>
    <cellStyle name="60% - Accent4 16 2" xfId="5213"/>
    <cellStyle name="60% - Accent4 17" xfId="5214"/>
    <cellStyle name="60% - Accent4 17 2" xfId="5215"/>
    <cellStyle name="60% - Accent4 18" xfId="5216"/>
    <cellStyle name="60% - Accent4 18 2" xfId="5217"/>
    <cellStyle name="60% - Accent4 19" xfId="5218"/>
    <cellStyle name="60% - Accent4 19 2" xfId="5219"/>
    <cellStyle name="60% - Accent4 2" xfId="5220"/>
    <cellStyle name="60% - Accent4 2 2" xfId="5221"/>
    <cellStyle name="60% - Accent4 2 3" xfId="5222"/>
    <cellStyle name="60% - Accent4 20" xfId="5223"/>
    <cellStyle name="60% - Accent4 20 2" xfId="5224"/>
    <cellStyle name="60% - Accent4 21" xfId="5225"/>
    <cellStyle name="60% - Accent4 21 2" xfId="5226"/>
    <cellStyle name="60% - Accent4 22" xfId="5227"/>
    <cellStyle name="60% - Accent4 22 2" xfId="5228"/>
    <cellStyle name="60% - Accent4 23" xfId="5229"/>
    <cellStyle name="60% - Accent4 23 2" xfId="5230"/>
    <cellStyle name="60% - Accent4 24" xfId="5231"/>
    <cellStyle name="60% - Accent4 24 2" xfId="5232"/>
    <cellStyle name="60% - Accent4 25" xfId="5233"/>
    <cellStyle name="60% - Accent4 25 2" xfId="5234"/>
    <cellStyle name="60% - Accent4 26" xfId="5235"/>
    <cellStyle name="60% - Accent4 26 2" xfId="5236"/>
    <cellStyle name="60% - Accent4 27" xfId="5237"/>
    <cellStyle name="60% - Accent4 27 2" xfId="5238"/>
    <cellStyle name="60% - Accent4 28" xfId="5239"/>
    <cellStyle name="60% - Accent4 28 2" xfId="5240"/>
    <cellStyle name="60% - Accent4 29" xfId="5241"/>
    <cellStyle name="60% - Accent4 29 2" xfId="5242"/>
    <cellStyle name="60% - Accent4 3" xfId="5243"/>
    <cellStyle name="60% - Accent4 3 2" xfId="5244"/>
    <cellStyle name="60% - Accent4 30" xfId="5245"/>
    <cellStyle name="60% - Accent4 30 2" xfId="5246"/>
    <cellStyle name="60% - Accent4 31" xfId="5247"/>
    <cellStyle name="60% - Accent4 31 2" xfId="5248"/>
    <cellStyle name="60% - Accent4 32" xfId="5249"/>
    <cellStyle name="60% - Accent4 32 2" xfId="5250"/>
    <cellStyle name="60% - Accent4 33" xfId="5251"/>
    <cellStyle name="60% - Accent4 33 2" xfId="5252"/>
    <cellStyle name="60% - Accent4 34" xfId="5253"/>
    <cellStyle name="60% - Accent4 34 2" xfId="5254"/>
    <cellStyle name="60% - Accent4 35" xfId="5255"/>
    <cellStyle name="60% - Accent4 35 2" xfId="5256"/>
    <cellStyle name="60% - Accent4 36" xfId="5257"/>
    <cellStyle name="60% - Accent4 36 2" xfId="5258"/>
    <cellStyle name="60% - Accent4 37" xfId="5259"/>
    <cellStyle name="60% - Accent4 37 2" xfId="5260"/>
    <cellStyle name="60% - Accent4 38" xfId="5261"/>
    <cellStyle name="60% - Accent4 38 2" xfId="5262"/>
    <cellStyle name="60% - Accent4 39" xfId="5263"/>
    <cellStyle name="60% - Accent4 39 2" xfId="5264"/>
    <cellStyle name="60% - Accent4 4" xfId="5265"/>
    <cellStyle name="60% - Accent4 4 2" xfId="5266"/>
    <cellStyle name="60% - Accent4 40" xfId="5267"/>
    <cellStyle name="60% - Accent4 40 2" xfId="5268"/>
    <cellStyle name="60% - Accent4 41" xfId="5269"/>
    <cellStyle name="60% - Accent4 41 2" xfId="5270"/>
    <cellStyle name="60% - Accent4 42" xfId="5271"/>
    <cellStyle name="60% - Accent4 42 2" xfId="5272"/>
    <cellStyle name="60% - Accent4 43" xfId="5273"/>
    <cellStyle name="60% - Accent4 43 2" xfId="5274"/>
    <cellStyle name="60% - Accent4 44" xfId="5275"/>
    <cellStyle name="60% - Accent4 44 2" xfId="5276"/>
    <cellStyle name="60% - Accent4 45" xfId="5277"/>
    <cellStyle name="60% - Accent4 45 2" xfId="5278"/>
    <cellStyle name="60% - Accent4 46" xfId="5279"/>
    <cellStyle name="60% - Accent4 46 2" xfId="5280"/>
    <cellStyle name="60% - Accent4 47" xfId="5281"/>
    <cellStyle name="60% - Accent4 47 2" xfId="5282"/>
    <cellStyle name="60% - Accent4 48" xfId="5283"/>
    <cellStyle name="60% - Accent4 48 2" xfId="5284"/>
    <cellStyle name="60% - Accent4 49" xfId="5285"/>
    <cellStyle name="60% - Accent4 49 2" xfId="5286"/>
    <cellStyle name="60% - Accent4 5" xfId="5287"/>
    <cellStyle name="60% - Accent4 5 2" xfId="5288"/>
    <cellStyle name="60% - Accent4 50" xfId="5289"/>
    <cellStyle name="60% - Accent4 50 2" xfId="5290"/>
    <cellStyle name="60% - Accent4 51" xfId="5291"/>
    <cellStyle name="60% - Accent4 51 2" xfId="5292"/>
    <cellStyle name="60% - Accent4 52" xfId="5293"/>
    <cellStyle name="60% - Accent4 52 2" xfId="5294"/>
    <cellStyle name="60% - Accent4 53" xfId="5295"/>
    <cellStyle name="60% - Accent4 53 2" xfId="5296"/>
    <cellStyle name="60% - Accent4 54" xfId="5297"/>
    <cellStyle name="60% - Accent4 54 2" xfId="5298"/>
    <cellStyle name="60% - Accent4 55" xfId="5299"/>
    <cellStyle name="60% - Accent4 55 2" xfId="5300"/>
    <cellStyle name="60% - Accent4 56" xfId="5301"/>
    <cellStyle name="60% - Accent4 56 2" xfId="5302"/>
    <cellStyle name="60% - Accent4 57" xfId="5303"/>
    <cellStyle name="60% - Accent4 57 2" xfId="5304"/>
    <cellStyle name="60% - Accent4 58" xfId="5305"/>
    <cellStyle name="60% - Accent4 58 2" xfId="5306"/>
    <cellStyle name="60% - Accent4 59" xfId="5307"/>
    <cellStyle name="60% - Accent4 59 2" xfId="5308"/>
    <cellStyle name="60% - Accent4 6" xfId="5309"/>
    <cellStyle name="60% - Accent4 6 2" xfId="5310"/>
    <cellStyle name="60% - Accent4 60" xfId="5311"/>
    <cellStyle name="60% - Accent4 60 2" xfId="5312"/>
    <cellStyle name="60% - Accent4 61" xfId="5313"/>
    <cellStyle name="60% - Accent4 61 2" xfId="5314"/>
    <cellStyle name="60% - Accent4 62" xfId="5315"/>
    <cellStyle name="60% - Accent4 62 2" xfId="5316"/>
    <cellStyle name="60% - Accent4 63" xfId="5317"/>
    <cellStyle name="60% - Accent4 63 2" xfId="5318"/>
    <cellStyle name="60% - Accent4 64" xfId="5319"/>
    <cellStyle name="60% - Accent4 64 2" xfId="5320"/>
    <cellStyle name="60% - Accent4 65" xfId="5321"/>
    <cellStyle name="60% - Accent4 65 2" xfId="5322"/>
    <cellStyle name="60% - Accent4 66" xfId="5323"/>
    <cellStyle name="60% - Accent4 66 2" xfId="5324"/>
    <cellStyle name="60% - Accent4 67" xfId="5325"/>
    <cellStyle name="60% - Accent4 67 2" xfId="5326"/>
    <cellStyle name="60% - Accent4 68" xfId="5327"/>
    <cellStyle name="60% - Accent4 68 2" xfId="5328"/>
    <cellStyle name="60% - Accent4 69" xfId="5329"/>
    <cellStyle name="60% - Accent4 69 2" xfId="5330"/>
    <cellStyle name="60% - Accent4 7" xfId="5331"/>
    <cellStyle name="60% - Accent4 7 2" xfId="5332"/>
    <cellStyle name="60% - Accent4 70" xfId="5333"/>
    <cellStyle name="60% - Accent4 70 2" xfId="5334"/>
    <cellStyle name="60% - Accent4 71" xfId="5335"/>
    <cellStyle name="60% - Accent4 71 2" xfId="5336"/>
    <cellStyle name="60% - Accent4 72" xfId="5337"/>
    <cellStyle name="60% - Accent4 73" xfId="5338"/>
    <cellStyle name="60% - Accent4 74" xfId="5339"/>
    <cellStyle name="60% - Accent4 75" xfId="5340"/>
    <cellStyle name="60% - Accent4 76" xfId="5341"/>
    <cellStyle name="60% - Accent4 77" xfId="5342"/>
    <cellStyle name="60% - Accent4 78" xfId="5343"/>
    <cellStyle name="60% - Accent4 79" xfId="5344"/>
    <cellStyle name="60% - Accent4 8" xfId="5345"/>
    <cellStyle name="60% - Accent4 8 2" xfId="5346"/>
    <cellStyle name="60% - Accent4 80" xfId="5347"/>
    <cellStyle name="60% - Accent4 81" xfId="5348"/>
    <cellStyle name="60% - Accent4 82" xfId="5349"/>
    <cellStyle name="60% - Accent4 83" xfId="5350"/>
    <cellStyle name="60% - Accent4 84" xfId="5351"/>
    <cellStyle name="60% - Accent4 85" xfId="5352"/>
    <cellStyle name="60% - Accent4 86" xfId="5353"/>
    <cellStyle name="60% - Accent4 87" xfId="5354"/>
    <cellStyle name="60% - Accent4 88" xfId="5355"/>
    <cellStyle name="60% - Accent4 89" xfId="5356"/>
    <cellStyle name="60% - Accent4 9" xfId="5357"/>
    <cellStyle name="60% - Accent4 9 2" xfId="5358"/>
    <cellStyle name="60% - Accent4 90" xfId="5359"/>
    <cellStyle name="60% - Accent4 91" xfId="5360"/>
    <cellStyle name="60% - Accent4 92" xfId="5361"/>
    <cellStyle name="60% - Accent4 93" xfId="5362"/>
    <cellStyle name="60% - Accent4 94" xfId="5363"/>
    <cellStyle name="60% - Accent4 95" xfId="5364"/>
    <cellStyle name="60% - Accent4 96" xfId="5365"/>
    <cellStyle name="60% - Accent4 97" xfId="5366"/>
    <cellStyle name="60% - Accent4 98" xfId="5367"/>
    <cellStyle name="60% - Accent4 99" xfId="5368"/>
    <cellStyle name="60% - Accent5 10" xfId="5369"/>
    <cellStyle name="60% - Accent5 10 2" xfId="5370"/>
    <cellStyle name="60% - Accent5 100" xfId="5371"/>
    <cellStyle name="60% - Accent5 101" xfId="5372"/>
    <cellStyle name="60% - Accent5 102" xfId="5373"/>
    <cellStyle name="60% - Accent5 103" xfId="5374"/>
    <cellStyle name="60% - Accent5 104" xfId="5375"/>
    <cellStyle name="60% - Accent5 105" xfId="5376"/>
    <cellStyle name="60% - Accent5 106" xfId="5377"/>
    <cellStyle name="60% - Accent5 107" xfId="5378"/>
    <cellStyle name="60% - Accent5 108" xfId="5379"/>
    <cellStyle name="60% - Accent5 109" xfId="5380"/>
    <cellStyle name="60% - Accent5 11" xfId="5381"/>
    <cellStyle name="60% - Accent5 11 2" xfId="5382"/>
    <cellStyle name="60% - Accent5 110" xfId="5383"/>
    <cellStyle name="60% - Accent5 111" xfId="5384"/>
    <cellStyle name="60% - Accent5 112" xfId="5385"/>
    <cellStyle name="60% - Accent5 113" xfId="5386"/>
    <cellStyle name="60% - Accent5 114" xfId="5387"/>
    <cellStyle name="60% - Accent5 115" xfId="5388"/>
    <cellStyle name="60% - Accent5 116" xfId="5389"/>
    <cellStyle name="60% - Accent5 117" xfId="5390"/>
    <cellStyle name="60% - Accent5 118" xfId="5391"/>
    <cellStyle name="60% - Accent5 12" xfId="5392"/>
    <cellStyle name="60% - Accent5 12 2" xfId="5393"/>
    <cellStyle name="60% - Accent5 13" xfId="5394"/>
    <cellStyle name="60% - Accent5 13 2" xfId="5395"/>
    <cellStyle name="60% - Accent5 14" xfId="5396"/>
    <cellStyle name="60% - Accent5 14 2" xfId="5397"/>
    <cellStyle name="60% - Accent5 15" xfId="5398"/>
    <cellStyle name="60% - Accent5 15 2" xfId="5399"/>
    <cellStyle name="60% - Accent5 16" xfId="5400"/>
    <cellStyle name="60% - Accent5 16 2" xfId="5401"/>
    <cellStyle name="60% - Accent5 17" xfId="5402"/>
    <cellStyle name="60% - Accent5 17 2" xfId="5403"/>
    <cellStyle name="60% - Accent5 18" xfId="5404"/>
    <cellStyle name="60% - Accent5 18 2" xfId="5405"/>
    <cellStyle name="60% - Accent5 19" xfId="5406"/>
    <cellStyle name="60% - Accent5 19 2" xfId="5407"/>
    <cellStyle name="60% - Accent5 2" xfId="5408"/>
    <cellStyle name="60% - Accent5 2 2" xfId="5409"/>
    <cellStyle name="60% - Accent5 2 3" xfId="5410"/>
    <cellStyle name="60% - Accent5 20" xfId="5411"/>
    <cellStyle name="60% - Accent5 20 2" xfId="5412"/>
    <cellStyle name="60% - Accent5 21" xfId="5413"/>
    <cellStyle name="60% - Accent5 21 2" xfId="5414"/>
    <cellStyle name="60% - Accent5 22" xfId="5415"/>
    <cellStyle name="60% - Accent5 22 2" xfId="5416"/>
    <cellStyle name="60% - Accent5 23" xfId="5417"/>
    <cellStyle name="60% - Accent5 23 2" xfId="5418"/>
    <cellStyle name="60% - Accent5 24" xfId="5419"/>
    <cellStyle name="60% - Accent5 24 2" xfId="5420"/>
    <cellStyle name="60% - Accent5 25" xfId="5421"/>
    <cellStyle name="60% - Accent5 25 2" xfId="5422"/>
    <cellStyle name="60% - Accent5 26" xfId="5423"/>
    <cellStyle name="60% - Accent5 26 2" xfId="5424"/>
    <cellStyle name="60% - Accent5 27" xfId="5425"/>
    <cellStyle name="60% - Accent5 27 2" xfId="5426"/>
    <cellStyle name="60% - Accent5 28" xfId="5427"/>
    <cellStyle name="60% - Accent5 28 2" xfId="5428"/>
    <cellStyle name="60% - Accent5 29" xfId="5429"/>
    <cellStyle name="60% - Accent5 29 2" xfId="5430"/>
    <cellStyle name="60% - Accent5 3" xfId="5431"/>
    <cellStyle name="60% - Accent5 3 2" xfId="5432"/>
    <cellStyle name="60% - Accent5 30" xfId="5433"/>
    <cellStyle name="60% - Accent5 30 2" xfId="5434"/>
    <cellStyle name="60% - Accent5 31" xfId="5435"/>
    <cellStyle name="60% - Accent5 31 2" xfId="5436"/>
    <cellStyle name="60% - Accent5 32" xfId="5437"/>
    <cellStyle name="60% - Accent5 32 2" xfId="5438"/>
    <cellStyle name="60% - Accent5 33" xfId="5439"/>
    <cellStyle name="60% - Accent5 33 2" xfId="5440"/>
    <cellStyle name="60% - Accent5 34" xfId="5441"/>
    <cellStyle name="60% - Accent5 34 2" xfId="5442"/>
    <cellStyle name="60% - Accent5 35" xfId="5443"/>
    <cellStyle name="60% - Accent5 35 2" xfId="5444"/>
    <cellStyle name="60% - Accent5 36" xfId="5445"/>
    <cellStyle name="60% - Accent5 36 2" xfId="5446"/>
    <cellStyle name="60% - Accent5 37" xfId="5447"/>
    <cellStyle name="60% - Accent5 37 2" xfId="5448"/>
    <cellStyle name="60% - Accent5 38" xfId="5449"/>
    <cellStyle name="60% - Accent5 38 2" xfId="5450"/>
    <cellStyle name="60% - Accent5 39" xfId="5451"/>
    <cellStyle name="60% - Accent5 39 2" xfId="5452"/>
    <cellStyle name="60% - Accent5 4" xfId="5453"/>
    <cellStyle name="60% - Accent5 4 2" xfId="5454"/>
    <cellStyle name="60% - Accent5 40" xfId="5455"/>
    <cellStyle name="60% - Accent5 40 2" xfId="5456"/>
    <cellStyle name="60% - Accent5 41" xfId="5457"/>
    <cellStyle name="60% - Accent5 41 2" xfId="5458"/>
    <cellStyle name="60% - Accent5 42" xfId="5459"/>
    <cellStyle name="60% - Accent5 42 2" xfId="5460"/>
    <cellStyle name="60% - Accent5 43" xfId="5461"/>
    <cellStyle name="60% - Accent5 43 2" xfId="5462"/>
    <cellStyle name="60% - Accent5 44" xfId="5463"/>
    <cellStyle name="60% - Accent5 44 2" xfId="5464"/>
    <cellStyle name="60% - Accent5 45" xfId="5465"/>
    <cellStyle name="60% - Accent5 45 2" xfId="5466"/>
    <cellStyle name="60% - Accent5 46" xfId="5467"/>
    <cellStyle name="60% - Accent5 46 2" xfId="5468"/>
    <cellStyle name="60% - Accent5 47" xfId="5469"/>
    <cellStyle name="60% - Accent5 47 2" xfId="5470"/>
    <cellStyle name="60% - Accent5 48" xfId="5471"/>
    <cellStyle name="60% - Accent5 48 2" xfId="5472"/>
    <cellStyle name="60% - Accent5 49" xfId="5473"/>
    <cellStyle name="60% - Accent5 49 2" xfId="5474"/>
    <cellStyle name="60% - Accent5 5" xfId="5475"/>
    <cellStyle name="60% - Accent5 5 2" xfId="5476"/>
    <cellStyle name="60% - Accent5 50" xfId="5477"/>
    <cellStyle name="60% - Accent5 50 2" xfId="5478"/>
    <cellStyle name="60% - Accent5 51" xfId="5479"/>
    <cellStyle name="60% - Accent5 51 2" xfId="5480"/>
    <cellStyle name="60% - Accent5 52" xfId="5481"/>
    <cellStyle name="60% - Accent5 52 2" xfId="5482"/>
    <cellStyle name="60% - Accent5 53" xfId="5483"/>
    <cellStyle name="60% - Accent5 53 2" xfId="5484"/>
    <cellStyle name="60% - Accent5 54" xfId="5485"/>
    <cellStyle name="60% - Accent5 54 2" xfId="5486"/>
    <cellStyle name="60% - Accent5 55" xfId="5487"/>
    <cellStyle name="60% - Accent5 55 2" xfId="5488"/>
    <cellStyle name="60% - Accent5 56" xfId="5489"/>
    <cellStyle name="60% - Accent5 56 2" xfId="5490"/>
    <cellStyle name="60% - Accent5 57" xfId="5491"/>
    <cellStyle name="60% - Accent5 57 2" xfId="5492"/>
    <cellStyle name="60% - Accent5 58" xfId="5493"/>
    <cellStyle name="60% - Accent5 58 2" xfId="5494"/>
    <cellStyle name="60% - Accent5 59" xfId="5495"/>
    <cellStyle name="60% - Accent5 59 2" xfId="5496"/>
    <cellStyle name="60% - Accent5 6" xfId="5497"/>
    <cellStyle name="60% - Accent5 6 2" xfId="5498"/>
    <cellStyle name="60% - Accent5 60" xfId="5499"/>
    <cellStyle name="60% - Accent5 60 2" xfId="5500"/>
    <cellStyle name="60% - Accent5 61" xfId="5501"/>
    <cellStyle name="60% - Accent5 61 2" xfId="5502"/>
    <cellStyle name="60% - Accent5 62" xfId="5503"/>
    <cellStyle name="60% - Accent5 62 2" xfId="5504"/>
    <cellStyle name="60% - Accent5 63" xfId="5505"/>
    <cellStyle name="60% - Accent5 63 2" xfId="5506"/>
    <cellStyle name="60% - Accent5 64" xfId="5507"/>
    <cellStyle name="60% - Accent5 64 2" xfId="5508"/>
    <cellStyle name="60% - Accent5 65" xfId="5509"/>
    <cellStyle name="60% - Accent5 65 2" xfId="5510"/>
    <cellStyle name="60% - Accent5 66" xfId="5511"/>
    <cellStyle name="60% - Accent5 66 2" xfId="5512"/>
    <cellStyle name="60% - Accent5 67" xfId="5513"/>
    <cellStyle name="60% - Accent5 67 2" xfId="5514"/>
    <cellStyle name="60% - Accent5 68" xfId="5515"/>
    <cellStyle name="60% - Accent5 68 2" xfId="5516"/>
    <cellStyle name="60% - Accent5 69" xfId="5517"/>
    <cellStyle name="60% - Accent5 69 2" xfId="5518"/>
    <cellStyle name="60% - Accent5 7" xfId="5519"/>
    <cellStyle name="60% - Accent5 7 2" xfId="5520"/>
    <cellStyle name="60% - Accent5 70" xfId="5521"/>
    <cellStyle name="60% - Accent5 70 2" xfId="5522"/>
    <cellStyle name="60% - Accent5 71" xfId="5523"/>
    <cellStyle name="60% - Accent5 71 2" xfId="5524"/>
    <cellStyle name="60% - Accent5 72" xfId="5525"/>
    <cellStyle name="60% - Accent5 73" xfId="5526"/>
    <cellStyle name="60% - Accent5 74" xfId="5527"/>
    <cellStyle name="60% - Accent5 75" xfId="5528"/>
    <cellStyle name="60% - Accent5 76" xfId="5529"/>
    <cellStyle name="60% - Accent5 77" xfId="5530"/>
    <cellStyle name="60% - Accent5 78" xfId="5531"/>
    <cellStyle name="60% - Accent5 79" xfId="5532"/>
    <cellStyle name="60% - Accent5 8" xfId="5533"/>
    <cellStyle name="60% - Accent5 8 2" xfId="5534"/>
    <cellStyle name="60% - Accent5 80" xfId="5535"/>
    <cellStyle name="60% - Accent5 81" xfId="5536"/>
    <cellStyle name="60% - Accent5 82" xfId="5537"/>
    <cellStyle name="60% - Accent5 83" xfId="5538"/>
    <cellStyle name="60% - Accent5 84" xfId="5539"/>
    <cellStyle name="60% - Accent5 85" xfId="5540"/>
    <cellStyle name="60% - Accent5 86" xfId="5541"/>
    <cellStyle name="60% - Accent5 87" xfId="5542"/>
    <cellStyle name="60% - Accent5 88" xfId="5543"/>
    <cellStyle name="60% - Accent5 89" xfId="5544"/>
    <cellStyle name="60% - Accent5 9" xfId="5545"/>
    <cellStyle name="60% - Accent5 9 2" xfId="5546"/>
    <cellStyle name="60% - Accent5 90" xfId="5547"/>
    <cellStyle name="60% - Accent5 91" xfId="5548"/>
    <cellStyle name="60% - Accent5 92" xfId="5549"/>
    <cellStyle name="60% - Accent5 93" xfId="5550"/>
    <cellStyle name="60% - Accent5 94" xfId="5551"/>
    <cellStyle name="60% - Accent5 95" xfId="5552"/>
    <cellStyle name="60% - Accent5 96" xfId="5553"/>
    <cellStyle name="60% - Accent5 97" xfId="5554"/>
    <cellStyle name="60% - Accent5 98" xfId="5555"/>
    <cellStyle name="60% - Accent5 99" xfId="5556"/>
    <cellStyle name="60% - Accent6 10" xfId="5557"/>
    <cellStyle name="60% - Accent6 10 2" xfId="5558"/>
    <cellStyle name="60% - Accent6 100" xfId="5559"/>
    <cellStyle name="60% - Accent6 101" xfId="5560"/>
    <cellStyle name="60% - Accent6 102" xfId="5561"/>
    <cellStyle name="60% - Accent6 103" xfId="5562"/>
    <cellStyle name="60% - Accent6 104" xfId="5563"/>
    <cellStyle name="60% - Accent6 105" xfId="5564"/>
    <cellStyle name="60% - Accent6 106" xfId="5565"/>
    <cellStyle name="60% - Accent6 107" xfId="5566"/>
    <cellStyle name="60% - Accent6 108" xfId="5567"/>
    <cellStyle name="60% - Accent6 109" xfId="5568"/>
    <cellStyle name="60% - Accent6 11" xfId="5569"/>
    <cellStyle name="60% - Accent6 11 2" xfId="5570"/>
    <cellStyle name="60% - Accent6 110" xfId="5571"/>
    <cellStyle name="60% - Accent6 111" xfId="5572"/>
    <cellStyle name="60% - Accent6 112" xfId="5573"/>
    <cellStyle name="60% - Accent6 113" xfId="5574"/>
    <cellStyle name="60% - Accent6 114" xfId="5575"/>
    <cellStyle name="60% - Accent6 115" xfId="5576"/>
    <cellStyle name="60% - Accent6 116" xfId="5577"/>
    <cellStyle name="60% - Accent6 117" xfId="5578"/>
    <cellStyle name="60% - Accent6 118" xfId="5579"/>
    <cellStyle name="60% - Accent6 12" xfId="5580"/>
    <cellStyle name="60% - Accent6 12 2" xfId="5581"/>
    <cellStyle name="60% - Accent6 13" xfId="5582"/>
    <cellStyle name="60% - Accent6 13 2" xfId="5583"/>
    <cellStyle name="60% - Accent6 14" xfId="5584"/>
    <cellStyle name="60% - Accent6 14 2" xfId="5585"/>
    <cellStyle name="60% - Accent6 15" xfId="5586"/>
    <cellStyle name="60% - Accent6 15 2" xfId="5587"/>
    <cellStyle name="60% - Accent6 16" xfId="5588"/>
    <cellStyle name="60% - Accent6 16 2" xfId="5589"/>
    <cellStyle name="60% - Accent6 17" xfId="5590"/>
    <cellStyle name="60% - Accent6 17 2" xfId="5591"/>
    <cellStyle name="60% - Accent6 18" xfId="5592"/>
    <cellStyle name="60% - Accent6 18 2" xfId="5593"/>
    <cellStyle name="60% - Accent6 19" xfId="5594"/>
    <cellStyle name="60% - Accent6 19 2" xfId="5595"/>
    <cellStyle name="60% - Accent6 2" xfId="5596"/>
    <cellStyle name="60% - Accent6 2 2" xfId="5597"/>
    <cellStyle name="60% - Accent6 2 3" xfId="5598"/>
    <cellStyle name="60% - Accent6 20" xfId="5599"/>
    <cellStyle name="60% - Accent6 20 2" xfId="5600"/>
    <cellStyle name="60% - Accent6 21" xfId="5601"/>
    <cellStyle name="60% - Accent6 21 2" xfId="5602"/>
    <cellStyle name="60% - Accent6 22" xfId="5603"/>
    <cellStyle name="60% - Accent6 22 2" xfId="5604"/>
    <cellStyle name="60% - Accent6 23" xfId="5605"/>
    <cellStyle name="60% - Accent6 23 2" xfId="5606"/>
    <cellStyle name="60% - Accent6 24" xfId="5607"/>
    <cellStyle name="60% - Accent6 24 2" xfId="5608"/>
    <cellStyle name="60% - Accent6 25" xfId="5609"/>
    <cellStyle name="60% - Accent6 25 2" xfId="5610"/>
    <cellStyle name="60% - Accent6 26" xfId="5611"/>
    <cellStyle name="60% - Accent6 26 2" xfId="5612"/>
    <cellStyle name="60% - Accent6 27" xfId="5613"/>
    <cellStyle name="60% - Accent6 27 2" xfId="5614"/>
    <cellStyle name="60% - Accent6 28" xfId="5615"/>
    <cellStyle name="60% - Accent6 28 2" xfId="5616"/>
    <cellStyle name="60% - Accent6 29" xfId="5617"/>
    <cellStyle name="60% - Accent6 29 2" xfId="5618"/>
    <cellStyle name="60% - Accent6 3" xfId="5619"/>
    <cellStyle name="60% - Accent6 3 2" xfId="5620"/>
    <cellStyle name="60% - Accent6 30" xfId="5621"/>
    <cellStyle name="60% - Accent6 30 2" xfId="5622"/>
    <cellStyle name="60% - Accent6 31" xfId="5623"/>
    <cellStyle name="60% - Accent6 31 2" xfId="5624"/>
    <cellStyle name="60% - Accent6 32" xfId="5625"/>
    <cellStyle name="60% - Accent6 32 2" xfId="5626"/>
    <cellStyle name="60% - Accent6 33" xfId="5627"/>
    <cellStyle name="60% - Accent6 33 2" xfId="5628"/>
    <cellStyle name="60% - Accent6 34" xfId="5629"/>
    <cellStyle name="60% - Accent6 34 2" xfId="5630"/>
    <cellStyle name="60% - Accent6 35" xfId="5631"/>
    <cellStyle name="60% - Accent6 35 2" xfId="5632"/>
    <cellStyle name="60% - Accent6 36" xfId="5633"/>
    <cellStyle name="60% - Accent6 36 2" xfId="5634"/>
    <cellStyle name="60% - Accent6 37" xfId="5635"/>
    <cellStyle name="60% - Accent6 37 2" xfId="5636"/>
    <cellStyle name="60% - Accent6 38" xfId="5637"/>
    <cellStyle name="60% - Accent6 38 2" xfId="5638"/>
    <cellStyle name="60% - Accent6 39" xfId="5639"/>
    <cellStyle name="60% - Accent6 39 2" xfId="5640"/>
    <cellStyle name="60% - Accent6 4" xfId="5641"/>
    <cellStyle name="60% - Accent6 4 2" xfId="5642"/>
    <cellStyle name="60% - Accent6 40" xfId="5643"/>
    <cellStyle name="60% - Accent6 40 2" xfId="5644"/>
    <cellStyle name="60% - Accent6 41" xfId="5645"/>
    <cellStyle name="60% - Accent6 41 2" xfId="5646"/>
    <cellStyle name="60% - Accent6 42" xfId="5647"/>
    <cellStyle name="60% - Accent6 42 2" xfId="5648"/>
    <cellStyle name="60% - Accent6 43" xfId="5649"/>
    <cellStyle name="60% - Accent6 43 2" xfId="5650"/>
    <cellStyle name="60% - Accent6 44" xfId="5651"/>
    <cellStyle name="60% - Accent6 44 2" xfId="5652"/>
    <cellStyle name="60% - Accent6 45" xfId="5653"/>
    <cellStyle name="60% - Accent6 45 2" xfId="5654"/>
    <cellStyle name="60% - Accent6 46" xfId="5655"/>
    <cellStyle name="60% - Accent6 46 2" xfId="5656"/>
    <cellStyle name="60% - Accent6 47" xfId="5657"/>
    <cellStyle name="60% - Accent6 47 2" xfId="5658"/>
    <cellStyle name="60% - Accent6 48" xfId="5659"/>
    <cellStyle name="60% - Accent6 48 2" xfId="5660"/>
    <cellStyle name="60% - Accent6 49" xfId="5661"/>
    <cellStyle name="60% - Accent6 49 2" xfId="5662"/>
    <cellStyle name="60% - Accent6 5" xfId="5663"/>
    <cellStyle name="60% - Accent6 5 2" xfId="5664"/>
    <cellStyle name="60% - Accent6 50" xfId="5665"/>
    <cellStyle name="60% - Accent6 50 2" xfId="5666"/>
    <cellStyle name="60% - Accent6 51" xfId="5667"/>
    <cellStyle name="60% - Accent6 51 2" xfId="5668"/>
    <cellStyle name="60% - Accent6 52" xfId="5669"/>
    <cellStyle name="60% - Accent6 52 2" xfId="5670"/>
    <cellStyle name="60% - Accent6 53" xfId="5671"/>
    <cellStyle name="60% - Accent6 53 2" xfId="5672"/>
    <cellStyle name="60% - Accent6 54" xfId="5673"/>
    <cellStyle name="60% - Accent6 54 2" xfId="5674"/>
    <cellStyle name="60% - Accent6 55" xfId="5675"/>
    <cellStyle name="60% - Accent6 55 2" xfId="5676"/>
    <cellStyle name="60% - Accent6 56" xfId="5677"/>
    <cellStyle name="60% - Accent6 56 2" xfId="5678"/>
    <cellStyle name="60% - Accent6 57" xfId="5679"/>
    <cellStyle name="60% - Accent6 57 2" xfId="5680"/>
    <cellStyle name="60% - Accent6 58" xfId="5681"/>
    <cellStyle name="60% - Accent6 58 2" xfId="5682"/>
    <cellStyle name="60% - Accent6 59" xfId="5683"/>
    <cellStyle name="60% - Accent6 59 2" xfId="5684"/>
    <cellStyle name="60% - Accent6 6" xfId="5685"/>
    <cellStyle name="60% - Accent6 6 2" xfId="5686"/>
    <cellStyle name="60% - Accent6 60" xfId="5687"/>
    <cellStyle name="60% - Accent6 60 2" xfId="5688"/>
    <cellStyle name="60% - Accent6 61" xfId="5689"/>
    <cellStyle name="60% - Accent6 61 2" xfId="5690"/>
    <cellStyle name="60% - Accent6 62" xfId="5691"/>
    <cellStyle name="60% - Accent6 62 2" xfId="5692"/>
    <cellStyle name="60% - Accent6 63" xfId="5693"/>
    <cellStyle name="60% - Accent6 63 2" xfId="5694"/>
    <cellStyle name="60% - Accent6 64" xfId="5695"/>
    <cellStyle name="60% - Accent6 64 2" xfId="5696"/>
    <cellStyle name="60% - Accent6 65" xfId="5697"/>
    <cellStyle name="60% - Accent6 65 2" xfId="5698"/>
    <cellStyle name="60% - Accent6 66" xfId="5699"/>
    <cellStyle name="60% - Accent6 66 2" xfId="5700"/>
    <cellStyle name="60% - Accent6 67" xfId="5701"/>
    <cellStyle name="60% - Accent6 67 2" xfId="5702"/>
    <cellStyle name="60% - Accent6 68" xfId="5703"/>
    <cellStyle name="60% - Accent6 68 2" xfId="5704"/>
    <cellStyle name="60% - Accent6 69" xfId="5705"/>
    <cellStyle name="60% - Accent6 69 2" xfId="5706"/>
    <cellStyle name="60% - Accent6 7" xfId="5707"/>
    <cellStyle name="60% - Accent6 7 2" xfId="5708"/>
    <cellStyle name="60% - Accent6 70" xfId="5709"/>
    <cellStyle name="60% - Accent6 70 2" xfId="5710"/>
    <cellStyle name="60% - Accent6 71" xfId="5711"/>
    <cellStyle name="60% - Accent6 71 2" xfId="5712"/>
    <cellStyle name="60% - Accent6 72" xfId="5713"/>
    <cellStyle name="60% - Accent6 73" xfId="5714"/>
    <cellStyle name="60% - Accent6 74" xfId="5715"/>
    <cellStyle name="60% - Accent6 75" xfId="5716"/>
    <cellStyle name="60% - Accent6 76" xfId="5717"/>
    <cellStyle name="60% - Accent6 77" xfId="5718"/>
    <cellStyle name="60% - Accent6 78" xfId="5719"/>
    <cellStyle name="60% - Accent6 79" xfId="5720"/>
    <cellStyle name="60% - Accent6 8" xfId="5721"/>
    <cellStyle name="60% - Accent6 8 2" xfId="5722"/>
    <cellStyle name="60% - Accent6 80" xfId="5723"/>
    <cellStyle name="60% - Accent6 81" xfId="5724"/>
    <cellStyle name="60% - Accent6 82" xfId="5725"/>
    <cellStyle name="60% - Accent6 83" xfId="5726"/>
    <cellStyle name="60% - Accent6 84" xfId="5727"/>
    <cellStyle name="60% - Accent6 85" xfId="5728"/>
    <cellStyle name="60% - Accent6 86" xfId="5729"/>
    <cellStyle name="60% - Accent6 87" xfId="5730"/>
    <cellStyle name="60% - Accent6 88" xfId="5731"/>
    <cellStyle name="60% - Accent6 89" xfId="5732"/>
    <cellStyle name="60% - Accent6 9" xfId="5733"/>
    <cellStyle name="60% - Accent6 9 2" xfId="5734"/>
    <cellStyle name="60% - Accent6 90" xfId="5735"/>
    <cellStyle name="60% - Accent6 91" xfId="5736"/>
    <cellStyle name="60% - Accent6 92" xfId="5737"/>
    <cellStyle name="60% - Accent6 93" xfId="5738"/>
    <cellStyle name="60% - Accent6 94" xfId="5739"/>
    <cellStyle name="60% - Accent6 95" xfId="5740"/>
    <cellStyle name="60% - Accent6 96" xfId="5741"/>
    <cellStyle name="60% - Accent6 97" xfId="5742"/>
    <cellStyle name="60% - Accent6 98" xfId="5743"/>
    <cellStyle name="60% - Accent6 99" xfId="5744"/>
    <cellStyle name="Accent1 10" xfId="5745"/>
    <cellStyle name="Accent1 10 2" xfId="5746"/>
    <cellStyle name="Accent1 100" xfId="5747"/>
    <cellStyle name="Accent1 101" xfId="5748"/>
    <cellStyle name="Accent1 102" xfId="5749"/>
    <cellStyle name="Accent1 103" xfId="5750"/>
    <cellStyle name="Accent1 104" xfId="5751"/>
    <cellStyle name="Accent1 105" xfId="5752"/>
    <cellStyle name="Accent1 106" xfId="5753"/>
    <cellStyle name="Accent1 107" xfId="5754"/>
    <cellStyle name="Accent1 108" xfId="5755"/>
    <cellStyle name="Accent1 109" xfId="5756"/>
    <cellStyle name="Accent1 11" xfId="5757"/>
    <cellStyle name="Accent1 11 2" xfId="5758"/>
    <cellStyle name="Accent1 110" xfId="5759"/>
    <cellStyle name="Accent1 111" xfId="5760"/>
    <cellStyle name="Accent1 112" xfId="5761"/>
    <cellStyle name="Accent1 113" xfId="5762"/>
    <cellStyle name="Accent1 114" xfId="5763"/>
    <cellStyle name="Accent1 115" xfId="5764"/>
    <cellStyle name="Accent1 116" xfId="5765"/>
    <cellStyle name="Accent1 117" xfId="5766"/>
    <cellStyle name="Accent1 118" xfId="5767"/>
    <cellStyle name="Accent1 12" xfId="5768"/>
    <cellStyle name="Accent1 12 2" xfId="5769"/>
    <cellStyle name="Accent1 13" xfId="5770"/>
    <cellStyle name="Accent1 13 2" xfId="5771"/>
    <cellStyle name="Accent1 14" xfId="5772"/>
    <cellStyle name="Accent1 14 2" xfId="5773"/>
    <cellStyle name="Accent1 15" xfId="5774"/>
    <cellStyle name="Accent1 15 2" xfId="5775"/>
    <cellStyle name="Accent1 16" xfId="5776"/>
    <cellStyle name="Accent1 16 2" xfId="5777"/>
    <cellStyle name="Accent1 17" xfId="5778"/>
    <cellStyle name="Accent1 17 2" xfId="5779"/>
    <cellStyle name="Accent1 18" xfId="5780"/>
    <cellStyle name="Accent1 18 2" xfId="5781"/>
    <cellStyle name="Accent1 19" xfId="5782"/>
    <cellStyle name="Accent1 19 2" xfId="5783"/>
    <cellStyle name="Accent1 2" xfId="5784"/>
    <cellStyle name="Accent1 2 2" xfId="5785"/>
    <cellStyle name="Accent1 2 3" xfId="5786"/>
    <cellStyle name="Accent1 20" xfId="5787"/>
    <cellStyle name="Accent1 20 2" xfId="5788"/>
    <cellStyle name="Accent1 21" xfId="5789"/>
    <cellStyle name="Accent1 21 2" xfId="5790"/>
    <cellStyle name="Accent1 22" xfId="5791"/>
    <cellStyle name="Accent1 22 2" xfId="5792"/>
    <cellStyle name="Accent1 23" xfId="5793"/>
    <cellStyle name="Accent1 23 2" xfId="5794"/>
    <cellStyle name="Accent1 24" xfId="5795"/>
    <cellStyle name="Accent1 24 2" xfId="5796"/>
    <cellStyle name="Accent1 25" xfId="5797"/>
    <cellStyle name="Accent1 25 2" xfId="5798"/>
    <cellStyle name="Accent1 26" xfId="5799"/>
    <cellStyle name="Accent1 26 2" xfId="5800"/>
    <cellStyle name="Accent1 27" xfId="5801"/>
    <cellStyle name="Accent1 27 2" xfId="5802"/>
    <cellStyle name="Accent1 28" xfId="5803"/>
    <cellStyle name="Accent1 28 2" xfId="5804"/>
    <cellStyle name="Accent1 29" xfId="5805"/>
    <cellStyle name="Accent1 29 2" xfId="5806"/>
    <cellStyle name="Accent1 3" xfId="5807"/>
    <cellStyle name="Accent1 3 2" xfId="5808"/>
    <cellStyle name="Accent1 30" xfId="5809"/>
    <cellStyle name="Accent1 30 2" xfId="5810"/>
    <cellStyle name="Accent1 31" xfId="5811"/>
    <cellStyle name="Accent1 31 2" xfId="5812"/>
    <cellStyle name="Accent1 32" xfId="5813"/>
    <cellStyle name="Accent1 32 2" xfId="5814"/>
    <cellStyle name="Accent1 33" xfId="5815"/>
    <cellStyle name="Accent1 33 2" xfId="5816"/>
    <cellStyle name="Accent1 34" xfId="5817"/>
    <cellStyle name="Accent1 34 2" xfId="5818"/>
    <cellStyle name="Accent1 35" xfId="5819"/>
    <cellStyle name="Accent1 35 2" xfId="5820"/>
    <cellStyle name="Accent1 36" xfId="5821"/>
    <cellStyle name="Accent1 36 2" xfId="5822"/>
    <cellStyle name="Accent1 37" xfId="5823"/>
    <cellStyle name="Accent1 37 2" xfId="5824"/>
    <cellStyle name="Accent1 38" xfId="5825"/>
    <cellStyle name="Accent1 38 2" xfId="5826"/>
    <cellStyle name="Accent1 39" xfId="5827"/>
    <cellStyle name="Accent1 39 2" xfId="5828"/>
    <cellStyle name="Accent1 4" xfId="5829"/>
    <cellStyle name="Accent1 4 2" xfId="5830"/>
    <cellStyle name="Accent1 40" xfId="5831"/>
    <cellStyle name="Accent1 40 2" xfId="5832"/>
    <cellStyle name="Accent1 41" xfId="5833"/>
    <cellStyle name="Accent1 41 2" xfId="5834"/>
    <cellStyle name="Accent1 42" xfId="5835"/>
    <cellStyle name="Accent1 42 2" xfId="5836"/>
    <cellStyle name="Accent1 43" xfId="5837"/>
    <cellStyle name="Accent1 43 2" xfId="5838"/>
    <cellStyle name="Accent1 44" xfId="5839"/>
    <cellStyle name="Accent1 44 2" xfId="5840"/>
    <cellStyle name="Accent1 45" xfId="5841"/>
    <cellStyle name="Accent1 45 2" xfId="5842"/>
    <cellStyle name="Accent1 46" xfId="5843"/>
    <cellStyle name="Accent1 46 2" xfId="5844"/>
    <cellStyle name="Accent1 47" xfId="5845"/>
    <cellStyle name="Accent1 47 2" xfId="5846"/>
    <cellStyle name="Accent1 48" xfId="5847"/>
    <cellStyle name="Accent1 48 2" xfId="5848"/>
    <cellStyle name="Accent1 49" xfId="5849"/>
    <cellStyle name="Accent1 49 2" xfId="5850"/>
    <cellStyle name="Accent1 5" xfId="5851"/>
    <cellStyle name="Accent1 5 2" xfId="5852"/>
    <cellStyle name="Accent1 50" xfId="5853"/>
    <cellStyle name="Accent1 50 2" xfId="5854"/>
    <cellStyle name="Accent1 51" xfId="5855"/>
    <cellStyle name="Accent1 51 2" xfId="5856"/>
    <cellStyle name="Accent1 52" xfId="5857"/>
    <cellStyle name="Accent1 52 2" xfId="5858"/>
    <cellStyle name="Accent1 53" xfId="5859"/>
    <cellStyle name="Accent1 53 2" xfId="5860"/>
    <cellStyle name="Accent1 54" xfId="5861"/>
    <cellStyle name="Accent1 54 2" xfId="5862"/>
    <cellStyle name="Accent1 55" xfId="5863"/>
    <cellStyle name="Accent1 55 2" xfId="5864"/>
    <cellStyle name="Accent1 56" xfId="5865"/>
    <cellStyle name="Accent1 56 2" xfId="5866"/>
    <cellStyle name="Accent1 57" xfId="5867"/>
    <cellStyle name="Accent1 57 2" xfId="5868"/>
    <cellStyle name="Accent1 58" xfId="5869"/>
    <cellStyle name="Accent1 58 2" xfId="5870"/>
    <cellStyle name="Accent1 59" xfId="5871"/>
    <cellStyle name="Accent1 59 2" xfId="5872"/>
    <cellStyle name="Accent1 6" xfId="5873"/>
    <cellStyle name="Accent1 6 2" xfId="5874"/>
    <cellStyle name="Accent1 60" xfId="5875"/>
    <cellStyle name="Accent1 60 2" xfId="5876"/>
    <cellStyle name="Accent1 61" xfId="5877"/>
    <cellStyle name="Accent1 61 2" xfId="5878"/>
    <cellStyle name="Accent1 62" xfId="5879"/>
    <cellStyle name="Accent1 62 2" xfId="5880"/>
    <cellStyle name="Accent1 63" xfId="5881"/>
    <cellStyle name="Accent1 63 2" xfId="5882"/>
    <cellStyle name="Accent1 64" xfId="5883"/>
    <cellStyle name="Accent1 64 2" xfId="5884"/>
    <cellStyle name="Accent1 65" xfId="5885"/>
    <cellStyle name="Accent1 65 2" xfId="5886"/>
    <cellStyle name="Accent1 66" xfId="5887"/>
    <cellStyle name="Accent1 66 2" xfId="5888"/>
    <cellStyle name="Accent1 67" xfId="5889"/>
    <cellStyle name="Accent1 67 2" xfId="5890"/>
    <cellStyle name="Accent1 68" xfId="5891"/>
    <cellStyle name="Accent1 68 2" xfId="5892"/>
    <cellStyle name="Accent1 69" xfId="5893"/>
    <cellStyle name="Accent1 69 2" xfId="5894"/>
    <cellStyle name="Accent1 7" xfId="5895"/>
    <cellStyle name="Accent1 7 2" xfId="5896"/>
    <cellStyle name="Accent1 70" xfId="5897"/>
    <cellStyle name="Accent1 70 2" xfId="5898"/>
    <cellStyle name="Accent1 71" xfId="5899"/>
    <cellStyle name="Accent1 71 2" xfId="5900"/>
    <cellStyle name="Accent1 72" xfId="5901"/>
    <cellStyle name="Accent1 73" xfId="5902"/>
    <cellStyle name="Accent1 74" xfId="5903"/>
    <cellStyle name="Accent1 75" xfId="5904"/>
    <cellStyle name="Accent1 76" xfId="5905"/>
    <cellStyle name="Accent1 77" xfId="5906"/>
    <cellStyle name="Accent1 78" xfId="5907"/>
    <cellStyle name="Accent1 79" xfId="5908"/>
    <cellStyle name="Accent1 8" xfId="5909"/>
    <cellStyle name="Accent1 8 2" xfId="5910"/>
    <cellStyle name="Accent1 80" xfId="5911"/>
    <cellStyle name="Accent1 81" xfId="5912"/>
    <cellStyle name="Accent1 82" xfId="5913"/>
    <cellStyle name="Accent1 83" xfId="5914"/>
    <cellStyle name="Accent1 84" xfId="5915"/>
    <cellStyle name="Accent1 85" xfId="5916"/>
    <cellStyle name="Accent1 86" xfId="5917"/>
    <cellStyle name="Accent1 87" xfId="5918"/>
    <cellStyle name="Accent1 88" xfId="5919"/>
    <cellStyle name="Accent1 89" xfId="5920"/>
    <cellStyle name="Accent1 9" xfId="5921"/>
    <cellStyle name="Accent1 9 2" xfId="5922"/>
    <cellStyle name="Accent1 90" xfId="5923"/>
    <cellStyle name="Accent1 91" xfId="5924"/>
    <cellStyle name="Accent1 92" xfId="5925"/>
    <cellStyle name="Accent1 93" xfId="5926"/>
    <cellStyle name="Accent1 94" xfId="5927"/>
    <cellStyle name="Accent1 95" xfId="5928"/>
    <cellStyle name="Accent1 96" xfId="5929"/>
    <cellStyle name="Accent1 97" xfId="5930"/>
    <cellStyle name="Accent1 98" xfId="5931"/>
    <cellStyle name="Accent1 99" xfId="5932"/>
    <cellStyle name="Accent2 10" xfId="5933"/>
    <cellStyle name="Accent2 10 2" xfId="5934"/>
    <cellStyle name="Accent2 100" xfId="5935"/>
    <cellStyle name="Accent2 101" xfId="5936"/>
    <cellStyle name="Accent2 102" xfId="5937"/>
    <cellStyle name="Accent2 103" xfId="5938"/>
    <cellStyle name="Accent2 104" xfId="5939"/>
    <cellStyle name="Accent2 105" xfId="5940"/>
    <cellStyle name="Accent2 106" xfId="5941"/>
    <cellStyle name="Accent2 107" xfId="5942"/>
    <cellStyle name="Accent2 108" xfId="5943"/>
    <cellStyle name="Accent2 109" xfId="5944"/>
    <cellStyle name="Accent2 11" xfId="5945"/>
    <cellStyle name="Accent2 11 2" xfId="5946"/>
    <cellStyle name="Accent2 110" xfId="5947"/>
    <cellStyle name="Accent2 111" xfId="5948"/>
    <cellStyle name="Accent2 112" xfId="5949"/>
    <cellStyle name="Accent2 113" xfId="5950"/>
    <cellStyle name="Accent2 114" xfId="5951"/>
    <cellStyle name="Accent2 115" xfId="5952"/>
    <cellStyle name="Accent2 116" xfId="5953"/>
    <cellStyle name="Accent2 117" xfId="5954"/>
    <cellStyle name="Accent2 118" xfId="5955"/>
    <cellStyle name="Accent2 12" xfId="5956"/>
    <cellStyle name="Accent2 12 2" xfId="5957"/>
    <cellStyle name="Accent2 13" xfId="5958"/>
    <cellStyle name="Accent2 13 2" xfId="5959"/>
    <cellStyle name="Accent2 14" xfId="5960"/>
    <cellStyle name="Accent2 14 2" xfId="5961"/>
    <cellStyle name="Accent2 15" xfId="5962"/>
    <cellStyle name="Accent2 15 2" xfId="5963"/>
    <cellStyle name="Accent2 16" xfId="5964"/>
    <cellStyle name="Accent2 16 2" xfId="5965"/>
    <cellStyle name="Accent2 17" xfId="5966"/>
    <cellStyle name="Accent2 17 2" xfId="5967"/>
    <cellStyle name="Accent2 18" xfId="5968"/>
    <cellStyle name="Accent2 18 2" xfId="5969"/>
    <cellStyle name="Accent2 19" xfId="5970"/>
    <cellStyle name="Accent2 19 2" xfId="5971"/>
    <cellStyle name="Accent2 2" xfId="5972"/>
    <cellStyle name="Accent2 2 2" xfId="5973"/>
    <cellStyle name="Accent2 2 3" xfId="5974"/>
    <cellStyle name="Accent2 20" xfId="5975"/>
    <cellStyle name="Accent2 20 2" xfId="5976"/>
    <cellStyle name="Accent2 21" xfId="5977"/>
    <cellStyle name="Accent2 21 2" xfId="5978"/>
    <cellStyle name="Accent2 22" xfId="5979"/>
    <cellStyle name="Accent2 22 2" xfId="5980"/>
    <cellStyle name="Accent2 23" xfId="5981"/>
    <cellStyle name="Accent2 23 2" xfId="5982"/>
    <cellStyle name="Accent2 24" xfId="5983"/>
    <cellStyle name="Accent2 24 2" xfId="5984"/>
    <cellStyle name="Accent2 25" xfId="5985"/>
    <cellStyle name="Accent2 25 2" xfId="5986"/>
    <cellStyle name="Accent2 26" xfId="5987"/>
    <cellStyle name="Accent2 26 2" xfId="5988"/>
    <cellStyle name="Accent2 27" xfId="5989"/>
    <cellStyle name="Accent2 27 2" xfId="5990"/>
    <cellStyle name="Accent2 28" xfId="5991"/>
    <cellStyle name="Accent2 28 2" xfId="5992"/>
    <cellStyle name="Accent2 29" xfId="5993"/>
    <cellStyle name="Accent2 29 2" xfId="5994"/>
    <cellStyle name="Accent2 3" xfId="5995"/>
    <cellStyle name="Accent2 3 2" xfId="5996"/>
    <cellStyle name="Accent2 30" xfId="5997"/>
    <cellStyle name="Accent2 30 2" xfId="5998"/>
    <cellStyle name="Accent2 31" xfId="5999"/>
    <cellStyle name="Accent2 31 2" xfId="6000"/>
    <cellStyle name="Accent2 32" xfId="6001"/>
    <cellStyle name="Accent2 32 2" xfId="6002"/>
    <cellStyle name="Accent2 33" xfId="6003"/>
    <cellStyle name="Accent2 33 2" xfId="6004"/>
    <cellStyle name="Accent2 34" xfId="6005"/>
    <cellStyle name="Accent2 34 2" xfId="6006"/>
    <cellStyle name="Accent2 35" xfId="6007"/>
    <cellStyle name="Accent2 35 2" xfId="6008"/>
    <cellStyle name="Accent2 36" xfId="6009"/>
    <cellStyle name="Accent2 36 2" xfId="6010"/>
    <cellStyle name="Accent2 37" xfId="6011"/>
    <cellStyle name="Accent2 37 2" xfId="6012"/>
    <cellStyle name="Accent2 38" xfId="6013"/>
    <cellStyle name="Accent2 38 2" xfId="6014"/>
    <cellStyle name="Accent2 39" xfId="6015"/>
    <cellStyle name="Accent2 39 2" xfId="6016"/>
    <cellStyle name="Accent2 4" xfId="6017"/>
    <cellStyle name="Accent2 4 2" xfId="6018"/>
    <cellStyle name="Accent2 40" xfId="6019"/>
    <cellStyle name="Accent2 40 2" xfId="6020"/>
    <cellStyle name="Accent2 41" xfId="6021"/>
    <cellStyle name="Accent2 41 2" xfId="6022"/>
    <cellStyle name="Accent2 42" xfId="6023"/>
    <cellStyle name="Accent2 42 2" xfId="6024"/>
    <cellStyle name="Accent2 43" xfId="6025"/>
    <cellStyle name="Accent2 43 2" xfId="6026"/>
    <cellStyle name="Accent2 44" xfId="6027"/>
    <cellStyle name="Accent2 44 2" xfId="6028"/>
    <cellStyle name="Accent2 45" xfId="6029"/>
    <cellStyle name="Accent2 45 2" xfId="6030"/>
    <cellStyle name="Accent2 46" xfId="6031"/>
    <cellStyle name="Accent2 46 2" xfId="6032"/>
    <cellStyle name="Accent2 47" xfId="6033"/>
    <cellStyle name="Accent2 47 2" xfId="6034"/>
    <cellStyle name="Accent2 48" xfId="6035"/>
    <cellStyle name="Accent2 48 2" xfId="6036"/>
    <cellStyle name="Accent2 49" xfId="6037"/>
    <cellStyle name="Accent2 49 2" xfId="6038"/>
    <cellStyle name="Accent2 5" xfId="6039"/>
    <cellStyle name="Accent2 5 2" xfId="6040"/>
    <cellStyle name="Accent2 50" xfId="6041"/>
    <cellStyle name="Accent2 50 2" xfId="6042"/>
    <cellStyle name="Accent2 51" xfId="6043"/>
    <cellStyle name="Accent2 51 2" xfId="6044"/>
    <cellStyle name="Accent2 52" xfId="6045"/>
    <cellStyle name="Accent2 52 2" xfId="6046"/>
    <cellStyle name="Accent2 53" xfId="6047"/>
    <cellStyle name="Accent2 53 2" xfId="6048"/>
    <cellStyle name="Accent2 54" xfId="6049"/>
    <cellStyle name="Accent2 54 2" xfId="6050"/>
    <cellStyle name="Accent2 55" xfId="6051"/>
    <cellStyle name="Accent2 55 2" xfId="6052"/>
    <cellStyle name="Accent2 56" xfId="6053"/>
    <cellStyle name="Accent2 56 2" xfId="6054"/>
    <cellStyle name="Accent2 57" xfId="6055"/>
    <cellStyle name="Accent2 57 2" xfId="6056"/>
    <cellStyle name="Accent2 58" xfId="6057"/>
    <cellStyle name="Accent2 58 2" xfId="6058"/>
    <cellStyle name="Accent2 59" xfId="6059"/>
    <cellStyle name="Accent2 59 2" xfId="6060"/>
    <cellStyle name="Accent2 6" xfId="6061"/>
    <cellStyle name="Accent2 6 2" xfId="6062"/>
    <cellStyle name="Accent2 60" xfId="6063"/>
    <cellStyle name="Accent2 60 2" xfId="6064"/>
    <cellStyle name="Accent2 61" xfId="6065"/>
    <cellStyle name="Accent2 61 2" xfId="6066"/>
    <cellStyle name="Accent2 62" xfId="6067"/>
    <cellStyle name="Accent2 62 2" xfId="6068"/>
    <cellStyle name="Accent2 63" xfId="6069"/>
    <cellStyle name="Accent2 63 2" xfId="6070"/>
    <cellStyle name="Accent2 64" xfId="6071"/>
    <cellStyle name="Accent2 64 2" xfId="6072"/>
    <cellStyle name="Accent2 65" xfId="6073"/>
    <cellStyle name="Accent2 65 2" xfId="6074"/>
    <cellStyle name="Accent2 66" xfId="6075"/>
    <cellStyle name="Accent2 66 2" xfId="6076"/>
    <cellStyle name="Accent2 67" xfId="6077"/>
    <cellStyle name="Accent2 67 2" xfId="6078"/>
    <cellStyle name="Accent2 68" xfId="6079"/>
    <cellStyle name="Accent2 68 2" xfId="6080"/>
    <cellStyle name="Accent2 69" xfId="6081"/>
    <cellStyle name="Accent2 69 2" xfId="6082"/>
    <cellStyle name="Accent2 7" xfId="6083"/>
    <cellStyle name="Accent2 7 2" xfId="6084"/>
    <cellStyle name="Accent2 70" xfId="6085"/>
    <cellStyle name="Accent2 70 2" xfId="6086"/>
    <cellStyle name="Accent2 71" xfId="6087"/>
    <cellStyle name="Accent2 71 2" xfId="6088"/>
    <cellStyle name="Accent2 72" xfId="6089"/>
    <cellStyle name="Accent2 73" xfId="6090"/>
    <cellStyle name="Accent2 74" xfId="6091"/>
    <cellStyle name="Accent2 75" xfId="6092"/>
    <cellStyle name="Accent2 76" xfId="6093"/>
    <cellStyle name="Accent2 77" xfId="6094"/>
    <cellStyle name="Accent2 78" xfId="6095"/>
    <cellStyle name="Accent2 79" xfId="6096"/>
    <cellStyle name="Accent2 8" xfId="6097"/>
    <cellStyle name="Accent2 8 2" xfId="6098"/>
    <cellStyle name="Accent2 80" xfId="6099"/>
    <cellStyle name="Accent2 81" xfId="6100"/>
    <cellStyle name="Accent2 82" xfId="6101"/>
    <cellStyle name="Accent2 83" xfId="6102"/>
    <cellStyle name="Accent2 84" xfId="6103"/>
    <cellStyle name="Accent2 85" xfId="6104"/>
    <cellStyle name="Accent2 86" xfId="6105"/>
    <cellStyle name="Accent2 87" xfId="6106"/>
    <cellStyle name="Accent2 88" xfId="6107"/>
    <cellStyle name="Accent2 89" xfId="6108"/>
    <cellStyle name="Accent2 9" xfId="6109"/>
    <cellStyle name="Accent2 9 2" xfId="6110"/>
    <cellStyle name="Accent2 90" xfId="6111"/>
    <cellStyle name="Accent2 91" xfId="6112"/>
    <cellStyle name="Accent2 92" xfId="6113"/>
    <cellStyle name="Accent2 93" xfId="6114"/>
    <cellStyle name="Accent2 94" xfId="6115"/>
    <cellStyle name="Accent2 95" xfId="6116"/>
    <cellStyle name="Accent2 96" xfId="6117"/>
    <cellStyle name="Accent2 97" xfId="6118"/>
    <cellStyle name="Accent2 98" xfId="6119"/>
    <cellStyle name="Accent2 99" xfId="6120"/>
    <cellStyle name="Accent3 10" xfId="6121"/>
    <cellStyle name="Accent3 10 2" xfId="6122"/>
    <cellStyle name="Accent3 100" xfId="6123"/>
    <cellStyle name="Accent3 101" xfId="6124"/>
    <cellStyle name="Accent3 102" xfId="6125"/>
    <cellStyle name="Accent3 103" xfId="6126"/>
    <cellStyle name="Accent3 104" xfId="6127"/>
    <cellStyle name="Accent3 105" xfId="6128"/>
    <cellStyle name="Accent3 106" xfId="6129"/>
    <cellStyle name="Accent3 107" xfId="6130"/>
    <cellStyle name="Accent3 108" xfId="6131"/>
    <cellStyle name="Accent3 109" xfId="6132"/>
    <cellStyle name="Accent3 11" xfId="6133"/>
    <cellStyle name="Accent3 11 2" xfId="6134"/>
    <cellStyle name="Accent3 110" xfId="6135"/>
    <cellStyle name="Accent3 111" xfId="6136"/>
    <cellStyle name="Accent3 112" xfId="6137"/>
    <cellStyle name="Accent3 113" xfId="6138"/>
    <cellStyle name="Accent3 114" xfId="6139"/>
    <cellStyle name="Accent3 115" xfId="6140"/>
    <cellStyle name="Accent3 116" xfId="6141"/>
    <cellStyle name="Accent3 117" xfId="6142"/>
    <cellStyle name="Accent3 118" xfId="6143"/>
    <cellStyle name="Accent3 12" xfId="6144"/>
    <cellStyle name="Accent3 12 2" xfId="6145"/>
    <cellStyle name="Accent3 13" xfId="6146"/>
    <cellStyle name="Accent3 13 2" xfId="6147"/>
    <cellStyle name="Accent3 14" xfId="6148"/>
    <cellStyle name="Accent3 14 2" xfId="6149"/>
    <cellStyle name="Accent3 15" xfId="6150"/>
    <cellStyle name="Accent3 15 2" xfId="6151"/>
    <cellStyle name="Accent3 16" xfId="6152"/>
    <cellStyle name="Accent3 16 2" xfId="6153"/>
    <cellStyle name="Accent3 17" xfId="6154"/>
    <cellStyle name="Accent3 17 2" xfId="6155"/>
    <cellStyle name="Accent3 18" xfId="6156"/>
    <cellStyle name="Accent3 18 2" xfId="6157"/>
    <cellStyle name="Accent3 19" xfId="6158"/>
    <cellStyle name="Accent3 19 2" xfId="6159"/>
    <cellStyle name="Accent3 2" xfId="6160"/>
    <cellStyle name="Accent3 2 2" xfId="6161"/>
    <cellStyle name="Accent3 2 3" xfId="6162"/>
    <cellStyle name="Accent3 20" xfId="6163"/>
    <cellStyle name="Accent3 20 2" xfId="6164"/>
    <cellStyle name="Accent3 21" xfId="6165"/>
    <cellStyle name="Accent3 21 2" xfId="6166"/>
    <cellStyle name="Accent3 22" xfId="6167"/>
    <cellStyle name="Accent3 22 2" xfId="6168"/>
    <cellStyle name="Accent3 23" xfId="6169"/>
    <cellStyle name="Accent3 23 2" xfId="6170"/>
    <cellStyle name="Accent3 24" xfId="6171"/>
    <cellStyle name="Accent3 24 2" xfId="6172"/>
    <cellStyle name="Accent3 25" xfId="6173"/>
    <cellStyle name="Accent3 25 2" xfId="6174"/>
    <cellStyle name="Accent3 26" xfId="6175"/>
    <cellStyle name="Accent3 26 2" xfId="6176"/>
    <cellStyle name="Accent3 27" xfId="6177"/>
    <cellStyle name="Accent3 27 2" xfId="6178"/>
    <cellStyle name="Accent3 28" xfId="6179"/>
    <cellStyle name="Accent3 28 2" xfId="6180"/>
    <cellStyle name="Accent3 29" xfId="6181"/>
    <cellStyle name="Accent3 29 2" xfId="6182"/>
    <cellStyle name="Accent3 3" xfId="6183"/>
    <cellStyle name="Accent3 3 2" xfId="6184"/>
    <cellStyle name="Accent3 30" xfId="6185"/>
    <cellStyle name="Accent3 30 2" xfId="6186"/>
    <cellStyle name="Accent3 31" xfId="6187"/>
    <cellStyle name="Accent3 31 2" xfId="6188"/>
    <cellStyle name="Accent3 32" xfId="6189"/>
    <cellStyle name="Accent3 32 2" xfId="6190"/>
    <cellStyle name="Accent3 33" xfId="6191"/>
    <cellStyle name="Accent3 33 2" xfId="6192"/>
    <cellStyle name="Accent3 34" xfId="6193"/>
    <cellStyle name="Accent3 34 2" xfId="6194"/>
    <cellStyle name="Accent3 35" xfId="6195"/>
    <cellStyle name="Accent3 35 2" xfId="6196"/>
    <cellStyle name="Accent3 36" xfId="6197"/>
    <cellStyle name="Accent3 36 2" xfId="6198"/>
    <cellStyle name="Accent3 37" xfId="6199"/>
    <cellStyle name="Accent3 37 2" xfId="6200"/>
    <cellStyle name="Accent3 38" xfId="6201"/>
    <cellStyle name="Accent3 38 2" xfId="6202"/>
    <cellStyle name="Accent3 39" xfId="6203"/>
    <cellStyle name="Accent3 39 2" xfId="6204"/>
    <cellStyle name="Accent3 4" xfId="6205"/>
    <cellStyle name="Accent3 4 2" xfId="6206"/>
    <cellStyle name="Accent3 40" xfId="6207"/>
    <cellStyle name="Accent3 40 2" xfId="6208"/>
    <cellStyle name="Accent3 41" xfId="6209"/>
    <cellStyle name="Accent3 41 2" xfId="6210"/>
    <cellStyle name="Accent3 42" xfId="6211"/>
    <cellStyle name="Accent3 42 2" xfId="6212"/>
    <cellStyle name="Accent3 43" xfId="6213"/>
    <cellStyle name="Accent3 43 2" xfId="6214"/>
    <cellStyle name="Accent3 44" xfId="6215"/>
    <cellStyle name="Accent3 44 2" xfId="6216"/>
    <cellStyle name="Accent3 45" xfId="6217"/>
    <cellStyle name="Accent3 45 2" xfId="6218"/>
    <cellStyle name="Accent3 46" xfId="6219"/>
    <cellStyle name="Accent3 46 2" xfId="6220"/>
    <cellStyle name="Accent3 47" xfId="6221"/>
    <cellStyle name="Accent3 47 2" xfId="6222"/>
    <cellStyle name="Accent3 48" xfId="6223"/>
    <cellStyle name="Accent3 48 2" xfId="6224"/>
    <cellStyle name="Accent3 49" xfId="6225"/>
    <cellStyle name="Accent3 49 2" xfId="6226"/>
    <cellStyle name="Accent3 5" xfId="6227"/>
    <cellStyle name="Accent3 5 2" xfId="6228"/>
    <cellStyle name="Accent3 50" xfId="6229"/>
    <cellStyle name="Accent3 50 2" xfId="6230"/>
    <cellStyle name="Accent3 51" xfId="6231"/>
    <cellStyle name="Accent3 51 2" xfId="6232"/>
    <cellStyle name="Accent3 52" xfId="6233"/>
    <cellStyle name="Accent3 52 2" xfId="6234"/>
    <cellStyle name="Accent3 53" xfId="6235"/>
    <cellStyle name="Accent3 53 2" xfId="6236"/>
    <cellStyle name="Accent3 54" xfId="6237"/>
    <cellStyle name="Accent3 54 2" xfId="6238"/>
    <cellStyle name="Accent3 55" xfId="6239"/>
    <cellStyle name="Accent3 55 2" xfId="6240"/>
    <cellStyle name="Accent3 56" xfId="6241"/>
    <cellStyle name="Accent3 56 2" xfId="6242"/>
    <cellStyle name="Accent3 57" xfId="6243"/>
    <cellStyle name="Accent3 57 2" xfId="6244"/>
    <cellStyle name="Accent3 58" xfId="6245"/>
    <cellStyle name="Accent3 58 2" xfId="6246"/>
    <cellStyle name="Accent3 59" xfId="6247"/>
    <cellStyle name="Accent3 59 2" xfId="6248"/>
    <cellStyle name="Accent3 6" xfId="6249"/>
    <cellStyle name="Accent3 6 2" xfId="6250"/>
    <cellStyle name="Accent3 60" xfId="6251"/>
    <cellStyle name="Accent3 60 2" xfId="6252"/>
    <cellStyle name="Accent3 61" xfId="6253"/>
    <cellStyle name="Accent3 61 2" xfId="6254"/>
    <cellStyle name="Accent3 62" xfId="6255"/>
    <cellStyle name="Accent3 62 2" xfId="6256"/>
    <cellStyle name="Accent3 63" xfId="6257"/>
    <cellStyle name="Accent3 63 2" xfId="6258"/>
    <cellStyle name="Accent3 64" xfId="6259"/>
    <cellStyle name="Accent3 64 2" xfId="6260"/>
    <cellStyle name="Accent3 65" xfId="6261"/>
    <cellStyle name="Accent3 65 2" xfId="6262"/>
    <cellStyle name="Accent3 66" xfId="6263"/>
    <cellStyle name="Accent3 66 2" xfId="6264"/>
    <cellStyle name="Accent3 67" xfId="6265"/>
    <cellStyle name="Accent3 67 2" xfId="6266"/>
    <cellStyle name="Accent3 68" xfId="6267"/>
    <cellStyle name="Accent3 68 2" xfId="6268"/>
    <cellStyle name="Accent3 69" xfId="6269"/>
    <cellStyle name="Accent3 69 2" xfId="6270"/>
    <cellStyle name="Accent3 7" xfId="6271"/>
    <cellStyle name="Accent3 7 2" xfId="6272"/>
    <cellStyle name="Accent3 70" xfId="6273"/>
    <cellStyle name="Accent3 70 2" xfId="6274"/>
    <cellStyle name="Accent3 71" xfId="6275"/>
    <cellStyle name="Accent3 71 2" xfId="6276"/>
    <cellStyle name="Accent3 72" xfId="6277"/>
    <cellStyle name="Accent3 73" xfId="6278"/>
    <cellStyle name="Accent3 74" xfId="6279"/>
    <cellStyle name="Accent3 75" xfId="6280"/>
    <cellStyle name="Accent3 76" xfId="6281"/>
    <cellStyle name="Accent3 77" xfId="6282"/>
    <cellStyle name="Accent3 78" xfId="6283"/>
    <cellStyle name="Accent3 79" xfId="6284"/>
    <cellStyle name="Accent3 8" xfId="6285"/>
    <cellStyle name="Accent3 8 2" xfId="6286"/>
    <cellStyle name="Accent3 80" xfId="6287"/>
    <cellStyle name="Accent3 81" xfId="6288"/>
    <cellStyle name="Accent3 82" xfId="6289"/>
    <cellStyle name="Accent3 83" xfId="6290"/>
    <cellStyle name="Accent3 84" xfId="6291"/>
    <cellStyle name="Accent3 85" xfId="6292"/>
    <cellStyle name="Accent3 86" xfId="6293"/>
    <cellStyle name="Accent3 87" xfId="6294"/>
    <cellStyle name="Accent3 88" xfId="6295"/>
    <cellStyle name="Accent3 89" xfId="6296"/>
    <cellStyle name="Accent3 9" xfId="6297"/>
    <cellStyle name="Accent3 9 2" xfId="6298"/>
    <cellStyle name="Accent3 90" xfId="6299"/>
    <cellStyle name="Accent3 91" xfId="6300"/>
    <cellStyle name="Accent3 92" xfId="6301"/>
    <cellStyle name="Accent3 93" xfId="6302"/>
    <cellStyle name="Accent3 94" xfId="6303"/>
    <cellStyle name="Accent3 95" xfId="6304"/>
    <cellStyle name="Accent3 96" xfId="6305"/>
    <cellStyle name="Accent3 97" xfId="6306"/>
    <cellStyle name="Accent3 98" xfId="6307"/>
    <cellStyle name="Accent3 99" xfId="6308"/>
    <cellStyle name="Accent4 10" xfId="6309"/>
    <cellStyle name="Accent4 10 2" xfId="6310"/>
    <cellStyle name="Accent4 100" xfId="6311"/>
    <cellStyle name="Accent4 101" xfId="6312"/>
    <cellStyle name="Accent4 102" xfId="6313"/>
    <cellStyle name="Accent4 103" xfId="6314"/>
    <cellStyle name="Accent4 104" xfId="6315"/>
    <cellStyle name="Accent4 105" xfId="6316"/>
    <cellStyle name="Accent4 106" xfId="6317"/>
    <cellStyle name="Accent4 107" xfId="6318"/>
    <cellStyle name="Accent4 108" xfId="6319"/>
    <cellStyle name="Accent4 109" xfId="6320"/>
    <cellStyle name="Accent4 11" xfId="6321"/>
    <cellStyle name="Accent4 11 2" xfId="6322"/>
    <cellStyle name="Accent4 110" xfId="6323"/>
    <cellStyle name="Accent4 111" xfId="6324"/>
    <cellStyle name="Accent4 112" xfId="6325"/>
    <cellStyle name="Accent4 113" xfId="6326"/>
    <cellStyle name="Accent4 114" xfId="6327"/>
    <cellStyle name="Accent4 115" xfId="6328"/>
    <cellStyle name="Accent4 116" xfId="6329"/>
    <cellStyle name="Accent4 117" xfId="6330"/>
    <cellStyle name="Accent4 118" xfId="6331"/>
    <cellStyle name="Accent4 12" xfId="6332"/>
    <cellStyle name="Accent4 12 2" xfId="6333"/>
    <cellStyle name="Accent4 13" xfId="6334"/>
    <cellStyle name="Accent4 13 2" xfId="6335"/>
    <cellStyle name="Accent4 14" xfId="6336"/>
    <cellStyle name="Accent4 14 2" xfId="6337"/>
    <cellStyle name="Accent4 15" xfId="6338"/>
    <cellStyle name="Accent4 15 2" xfId="6339"/>
    <cellStyle name="Accent4 16" xfId="6340"/>
    <cellStyle name="Accent4 16 2" xfId="6341"/>
    <cellStyle name="Accent4 17" xfId="6342"/>
    <cellStyle name="Accent4 17 2" xfId="6343"/>
    <cellStyle name="Accent4 18" xfId="6344"/>
    <cellStyle name="Accent4 18 2" xfId="6345"/>
    <cellStyle name="Accent4 19" xfId="6346"/>
    <cellStyle name="Accent4 19 2" xfId="6347"/>
    <cellStyle name="Accent4 2" xfId="6348"/>
    <cellStyle name="Accent4 2 2" xfId="6349"/>
    <cellStyle name="Accent4 2 3" xfId="6350"/>
    <cellStyle name="Accent4 20" xfId="6351"/>
    <cellStyle name="Accent4 20 2" xfId="6352"/>
    <cellStyle name="Accent4 21" xfId="6353"/>
    <cellStyle name="Accent4 21 2" xfId="6354"/>
    <cellStyle name="Accent4 22" xfId="6355"/>
    <cellStyle name="Accent4 22 2" xfId="6356"/>
    <cellStyle name="Accent4 23" xfId="6357"/>
    <cellStyle name="Accent4 23 2" xfId="6358"/>
    <cellStyle name="Accent4 24" xfId="6359"/>
    <cellStyle name="Accent4 24 2" xfId="6360"/>
    <cellStyle name="Accent4 25" xfId="6361"/>
    <cellStyle name="Accent4 25 2" xfId="6362"/>
    <cellStyle name="Accent4 26" xfId="6363"/>
    <cellStyle name="Accent4 26 2" xfId="6364"/>
    <cellStyle name="Accent4 27" xfId="6365"/>
    <cellStyle name="Accent4 27 2" xfId="6366"/>
    <cellStyle name="Accent4 28" xfId="6367"/>
    <cellStyle name="Accent4 28 2" xfId="6368"/>
    <cellStyle name="Accent4 29" xfId="6369"/>
    <cellStyle name="Accent4 29 2" xfId="6370"/>
    <cellStyle name="Accent4 3" xfId="6371"/>
    <cellStyle name="Accent4 3 2" xfId="6372"/>
    <cellStyle name="Accent4 30" xfId="6373"/>
    <cellStyle name="Accent4 30 2" xfId="6374"/>
    <cellStyle name="Accent4 31" xfId="6375"/>
    <cellStyle name="Accent4 31 2" xfId="6376"/>
    <cellStyle name="Accent4 32" xfId="6377"/>
    <cellStyle name="Accent4 32 2" xfId="6378"/>
    <cellStyle name="Accent4 33" xfId="6379"/>
    <cellStyle name="Accent4 33 2" xfId="6380"/>
    <cellStyle name="Accent4 34" xfId="6381"/>
    <cellStyle name="Accent4 34 2" xfId="6382"/>
    <cellStyle name="Accent4 35" xfId="6383"/>
    <cellStyle name="Accent4 35 2" xfId="6384"/>
    <cellStyle name="Accent4 36" xfId="6385"/>
    <cellStyle name="Accent4 36 2" xfId="6386"/>
    <cellStyle name="Accent4 37" xfId="6387"/>
    <cellStyle name="Accent4 37 2" xfId="6388"/>
    <cellStyle name="Accent4 38" xfId="6389"/>
    <cellStyle name="Accent4 38 2" xfId="6390"/>
    <cellStyle name="Accent4 39" xfId="6391"/>
    <cellStyle name="Accent4 39 2" xfId="6392"/>
    <cellStyle name="Accent4 4" xfId="6393"/>
    <cellStyle name="Accent4 4 2" xfId="6394"/>
    <cellStyle name="Accent4 40" xfId="6395"/>
    <cellStyle name="Accent4 40 2" xfId="6396"/>
    <cellStyle name="Accent4 41" xfId="6397"/>
    <cellStyle name="Accent4 41 2" xfId="6398"/>
    <cellStyle name="Accent4 42" xfId="6399"/>
    <cellStyle name="Accent4 42 2" xfId="6400"/>
    <cellStyle name="Accent4 43" xfId="6401"/>
    <cellStyle name="Accent4 43 2" xfId="6402"/>
    <cellStyle name="Accent4 44" xfId="6403"/>
    <cellStyle name="Accent4 44 2" xfId="6404"/>
    <cellStyle name="Accent4 45" xfId="6405"/>
    <cellStyle name="Accent4 45 2" xfId="6406"/>
    <cellStyle name="Accent4 46" xfId="6407"/>
    <cellStyle name="Accent4 46 2" xfId="6408"/>
    <cellStyle name="Accent4 47" xfId="6409"/>
    <cellStyle name="Accent4 47 2" xfId="6410"/>
    <cellStyle name="Accent4 48" xfId="6411"/>
    <cellStyle name="Accent4 48 2" xfId="6412"/>
    <cellStyle name="Accent4 49" xfId="6413"/>
    <cellStyle name="Accent4 49 2" xfId="6414"/>
    <cellStyle name="Accent4 5" xfId="6415"/>
    <cellStyle name="Accent4 5 2" xfId="6416"/>
    <cellStyle name="Accent4 50" xfId="6417"/>
    <cellStyle name="Accent4 50 2" xfId="6418"/>
    <cellStyle name="Accent4 51" xfId="6419"/>
    <cellStyle name="Accent4 51 2" xfId="6420"/>
    <cellStyle name="Accent4 52" xfId="6421"/>
    <cellStyle name="Accent4 52 2" xfId="6422"/>
    <cellStyle name="Accent4 53" xfId="6423"/>
    <cellStyle name="Accent4 53 2" xfId="6424"/>
    <cellStyle name="Accent4 54" xfId="6425"/>
    <cellStyle name="Accent4 54 2" xfId="6426"/>
    <cellStyle name="Accent4 55" xfId="6427"/>
    <cellStyle name="Accent4 55 2" xfId="6428"/>
    <cellStyle name="Accent4 56" xfId="6429"/>
    <cellStyle name="Accent4 56 2" xfId="6430"/>
    <cellStyle name="Accent4 57" xfId="6431"/>
    <cellStyle name="Accent4 57 2" xfId="6432"/>
    <cellStyle name="Accent4 58" xfId="6433"/>
    <cellStyle name="Accent4 58 2" xfId="6434"/>
    <cellStyle name="Accent4 59" xfId="6435"/>
    <cellStyle name="Accent4 59 2" xfId="6436"/>
    <cellStyle name="Accent4 6" xfId="6437"/>
    <cellStyle name="Accent4 6 2" xfId="6438"/>
    <cellStyle name="Accent4 60" xfId="6439"/>
    <cellStyle name="Accent4 60 2" xfId="6440"/>
    <cellStyle name="Accent4 61" xfId="6441"/>
    <cellStyle name="Accent4 61 2" xfId="6442"/>
    <cellStyle name="Accent4 62" xfId="6443"/>
    <cellStyle name="Accent4 62 2" xfId="6444"/>
    <cellStyle name="Accent4 63" xfId="6445"/>
    <cellStyle name="Accent4 63 2" xfId="6446"/>
    <cellStyle name="Accent4 64" xfId="6447"/>
    <cellStyle name="Accent4 64 2" xfId="6448"/>
    <cellStyle name="Accent4 65" xfId="6449"/>
    <cellStyle name="Accent4 65 2" xfId="6450"/>
    <cellStyle name="Accent4 66" xfId="6451"/>
    <cellStyle name="Accent4 66 2" xfId="6452"/>
    <cellStyle name="Accent4 67" xfId="6453"/>
    <cellStyle name="Accent4 67 2" xfId="6454"/>
    <cellStyle name="Accent4 68" xfId="6455"/>
    <cellStyle name="Accent4 68 2" xfId="6456"/>
    <cellStyle name="Accent4 69" xfId="6457"/>
    <cellStyle name="Accent4 69 2" xfId="6458"/>
    <cellStyle name="Accent4 7" xfId="6459"/>
    <cellStyle name="Accent4 7 2" xfId="6460"/>
    <cellStyle name="Accent4 70" xfId="6461"/>
    <cellStyle name="Accent4 70 2" xfId="6462"/>
    <cellStyle name="Accent4 71" xfId="6463"/>
    <cellStyle name="Accent4 71 2" xfId="6464"/>
    <cellStyle name="Accent4 72" xfId="6465"/>
    <cellStyle name="Accent4 73" xfId="6466"/>
    <cellStyle name="Accent4 74" xfId="6467"/>
    <cellStyle name="Accent4 75" xfId="6468"/>
    <cellStyle name="Accent4 76" xfId="6469"/>
    <cellStyle name="Accent4 77" xfId="6470"/>
    <cellStyle name="Accent4 78" xfId="6471"/>
    <cellStyle name="Accent4 79" xfId="6472"/>
    <cellStyle name="Accent4 8" xfId="6473"/>
    <cellStyle name="Accent4 8 2" xfId="6474"/>
    <cellStyle name="Accent4 80" xfId="6475"/>
    <cellStyle name="Accent4 81" xfId="6476"/>
    <cellStyle name="Accent4 82" xfId="6477"/>
    <cellStyle name="Accent4 83" xfId="6478"/>
    <cellStyle name="Accent4 84" xfId="6479"/>
    <cellStyle name="Accent4 85" xfId="6480"/>
    <cellStyle name="Accent4 86" xfId="6481"/>
    <cellStyle name="Accent4 87" xfId="6482"/>
    <cellStyle name="Accent4 88" xfId="6483"/>
    <cellStyle name="Accent4 89" xfId="6484"/>
    <cellStyle name="Accent4 9" xfId="6485"/>
    <cellStyle name="Accent4 9 2" xfId="6486"/>
    <cellStyle name="Accent4 90" xfId="6487"/>
    <cellStyle name="Accent4 91" xfId="6488"/>
    <cellStyle name="Accent4 92" xfId="6489"/>
    <cellStyle name="Accent4 93" xfId="6490"/>
    <cellStyle name="Accent4 94" xfId="6491"/>
    <cellStyle name="Accent4 95" xfId="6492"/>
    <cellStyle name="Accent4 96" xfId="6493"/>
    <cellStyle name="Accent4 97" xfId="6494"/>
    <cellStyle name="Accent4 98" xfId="6495"/>
    <cellStyle name="Accent4 99" xfId="6496"/>
    <cellStyle name="Accent5 10" xfId="6497"/>
    <cellStyle name="Accent5 11" xfId="6498"/>
    <cellStyle name="Accent5 12" xfId="6499"/>
    <cellStyle name="Accent5 13" xfId="6500"/>
    <cellStyle name="Accent5 14" xfId="6501"/>
    <cellStyle name="Accent5 15" xfId="6502"/>
    <cellStyle name="Accent5 16" xfId="6503"/>
    <cellStyle name="Accent5 17" xfId="6504"/>
    <cellStyle name="Accent5 18" xfId="6505"/>
    <cellStyle name="Accent5 19" xfId="6506"/>
    <cellStyle name="Accent5 2" xfId="6507"/>
    <cellStyle name="Accent5 2 2" xfId="6508"/>
    <cellStyle name="Accent5 20" xfId="6509"/>
    <cellStyle name="Accent5 21" xfId="6510"/>
    <cellStyle name="Accent5 22" xfId="6511"/>
    <cellStyle name="Accent5 23" xfId="6512"/>
    <cellStyle name="Accent5 24" xfId="6513"/>
    <cellStyle name="Accent5 25" xfId="6514"/>
    <cellStyle name="Accent5 26" xfId="6515"/>
    <cellStyle name="Accent5 27" xfId="6516"/>
    <cellStyle name="Accent5 28" xfId="6517"/>
    <cellStyle name="Accent5 29" xfId="6518"/>
    <cellStyle name="Accent5 3" xfId="6519"/>
    <cellStyle name="Accent5 30" xfId="6520"/>
    <cellStyle name="Accent5 31" xfId="6521"/>
    <cellStyle name="Accent5 32" xfId="6522"/>
    <cellStyle name="Accent5 33" xfId="6523"/>
    <cellStyle name="Accent5 34" xfId="6524"/>
    <cellStyle name="Accent5 35" xfId="6525"/>
    <cellStyle name="Accent5 36" xfId="6526"/>
    <cellStyle name="Accent5 37" xfId="6527"/>
    <cellStyle name="Accent5 38" xfId="6528"/>
    <cellStyle name="Accent5 39" xfId="6529"/>
    <cellStyle name="Accent5 4" xfId="6530"/>
    <cellStyle name="Accent5 40" xfId="6531"/>
    <cellStyle name="Accent5 41" xfId="6532"/>
    <cellStyle name="Accent5 42" xfId="6533"/>
    <cellStyle name="Accent5 43" xfId="6534"/>
    <cellStyle name="Accent5 44" xfId="6535"/>
    <cellStyle name="Accent5 45" xfId="6536"/>
    <cellStyle name="Accent5 46" xfId="6537"/>
    <cellStyle name="Accent5 47" xfId="6538"/>
    <cellStyle name="Accent5 48" xfId="6539"/>
    <cellStyle name="Accent5 49" xfId="6540"/>
    <cellStyle name="Accent5 5" xfId="6541"/>
    <cellStyle name="Accent5 50" xfId="6542"/>
    <cellStyle name="Accent5 51" xfId="6543"/>
    <cellStyle name="Accent5 52" xfId="6544"/>
    <cellStyle name="Accent5 53" xfId="6545"/>
    <cellStyle name="Accent5 54" xfId="6546"/>
    <cellStyle name="Accent5 55" xfId="6547"/>
    <cellStyle name="Accent5 56" xfId="6548"/>
    <cellStyle name="Accent5 57" xfId="6549"/>
    <cellStyle name="Accent5 58" xfId="6550"/>
    <cellStyle name="Accent5 59" xfId="6551"/>
    <cellStyle name="Accent5 6" xfId="6552"/>
    <cellStyle name="Accent5 60" xfId="6553"/>
    <cellStyle name="Accent5 61" xfId="6554"/>
    <cellStyle name="Accent5 62" xfId="6555"/>
    <cellStyle name="Accent5 63" xfId="6556"/>
    <cellStyle name="Accent5 64" xfId="6557"/>
    <cellStyle name="Accent5 65" xfId="6558"/>
    <cellStyle name="Accent5 66" xfId="6559"/>
    <cellStyle name="Accent5 67" xfId="6560"/>
    <cellStyle name="Accent5 68" xfId="6561"/>
    <cellStyle name="Accent5 69" xfId="6562"/>
    <cellStyle name="Accent5 7" xfId="6563"/>
    <cellStyle name="Accent5 70" xfId="6564"/>
    <cellStyle name="Accent5 71" xfId="6565"/>
    <cellStyle name="Accent5 72" xfId="6566"/>
    <cellStyle name="Accent5 8" xfId="6567"/>
    <cellStyle name="Accent5 9" xfId="6568"/>
    <cellStyle name="Accent6 10" xfId="6569"/>
    <cellStyle name="Accent6 10 2" xfId="6570"/>
    <cellStyle name="Accent6 100" xfId="6571"/>
    <cellStyle name="Accent6 101" xfId="6572"/>
    <cellStyle name="Accent6 102" xfId="6573"/>
    <cellStyle name="Accent6 103" xfId="6574"/>
    <cellStyle name="Accent6 104" xfId="6575"/>
    <cellStyle name="Accent6 105" xfId="6576"/>
    <cellStyle name="Accent6 106" xfId="6577"/>
    <cellStyle name="Accent6 107" xfId="6578"/>
    <cellStyle name="Accent6 108" xfId="6579"/>
    <cellStyle name="Accent6 109" xfId="6580"/>
    <cellStyle name="Accent6 11" xfId="6581"/>
    <cellStyle name="Accent6 11 2" xfId="6582"/>
    <cellStyle name="Accent6 110" xfId="6583"/>
    <cellStyle name="Accent6 111" xfId="6584"/>
    <cellStyle name="Accent6 112" xfId="6585"/>
    <cellStyle name="Accent6 113" xfId="6586"/>
    <cellStyle name="Accent6 114" xfId="6587"/>
    <cellStyle name="Accent6 115" xfId="6588"/>
    <cellStyle name="Accent6 116" xfId="6589"/>
    <cellStyle name="Accent6 117" xfId="6590"/>
    <cellStyle name="Accent6 118" xfId="6591"/>
    <cellStyle name="Accent6 12" xfId="6592"/>
    <cellStyle name="Accent6 12 2" xfId="6593"/>
    <cellStyle name="Accent6 13" xfId="6594"/>
    <cellStyle name="Accent6 13 2" xfId="6595"/>
    <cellStyle name="Accent6 14" xfId="6596"/>
    <cellStyle name="Accent6 14 2" xfId="6597"/>
    <cellStyle name="Accent6 15" xfId="6598"/>
    <cellStyle name="Accent6 15 2" xfId="6599"/>
    <cellStyle name="Accent6 16" xfId="6600"/>
    <cellStyle name="Accent6 16 2" xfId="6601"/>
    <cellStyle name="Accent6 17" xfId="6602"/>
    <cellStyle name="Accent6 17 2" xfId="6603"/>
    <cellStyle name="Accent6 18" xfId="6604"/>
    <cellStyle name="Accent6 18 2" xfId="6605"/>
    <cellStyle name="Accent6 19" xfId="6606"/>
    <cellStyle name="Accent6 19 2" xfId="6607"/>
    <cellStyle name="Accent6 2" xfId="6608"/>
    <cellStyle name="Accent6 2 2" xfId="6609"/>
    <cellStyle name="Accent6 2 3" xfId="6610"/>
    <cellStyle name="Accent6 20" xfId="6611"/>
    <cellStyle name="Accent6 20 2" xfId="6612"/>
    <cellStyle name="Accent6 21" xfId="6613"/>
    <cellStyle name="Accent6 21 2" xfId="6614"/>
    <cellStyle name="Accent6 22" xfId="6615"/>
    <cellStyle name="Accent6 22 2" xfId="6616"/>
    <cellStyle name="Accent6 23" xfId="6617"/>
    <cellStyle name="Accent6 23 2" xfId="6618"/>
    <cellStyle name="Accent6 24" xfId="6619"/>
    <cellStyle name="Accent6 24 2" xfId="6620"/>
    <cellStyle name="Accent6 25" xfId="6621"/>
    <cellStyle name="Accent6 25 2" xfId="6622"/>
    <cellStyle name="Accent6 26" xfId="6623"/>
    <cellStyle name="Accent6 26 2" xfId="6624"/>
    <cellStyle name="Accent6 27" xfId="6625"/>
    <cellStyle name="Accent6 27 2" xfId="6626"/>
    <cellStyle name="Accent6 28" xfId="6627"/>
    <cellStyle name="Accent6 28 2" xfId="6628"/>
    <cellStyle name="Accent6 29" xfId="6629"/>
    <cellStyle name="Accent6 29 2" xfId="6630"/>
    <cellStyle name="Accent6 3" xfId="6631"/>
    <cellStyle name="Accent6 3 2" xfId="6632"/>
    <cellStyle name="Accent6 30" xfId="6633"/>
    <cellStyle name="Accent6 30 2" xfId="6634"/>
    <cellStyle name="Accent6 31" xfId="6635"/>
    <cellStyle name="Accent6 31 2" xfId="6636"/>
    <cellStyle name="Accent6 32" xfId="6637"/>
    <cellStyle name="Accent6 32 2" xfId="6638"/>
    <cellStyle name="Accent6 33" xfId="6639"/>
    <cellStyle name="Accent6 33 2" xfId="6640"/>
    <cellStyle name="Accent6 34" xfId="6641"/>
    <cellStyle name="Accent6 34 2" xfId="6642"/>
    <cellStyle name="Accent6 35" xfId="6643"/>
    <cellStyle name="Accent6 35 2" xfId="6644"/>
    <cellStyle name="Accent6 36" xfId="6645"/>
    <cellStyle name="Accent6 36 2" xfId="6646"/>
    <cellStyle name="Accent6 37" xfId="6647"/>
    <cellStyle name="Accent6 37 2" xfId="6648"/>
    <cellStyle name="Accent6 38" xfId="6649"/>
    <cellStyle name="Accent6 38 2" xfId="6650"/>
    <cellStyle name="Accent6 39" xfId="6651"/>
    <cellStyle name="Accent6 39 2" xfId="6652"/>
    <cellStyle name="Accent6 4" xfId="6653"/>
    <cellStyle name="Accent6 4 2" xfId="6654"/>
    <cellStyle name="Accent6 40" xfId="6655"/>
    <cellStyle name="Accent6 40 2" xfId="6656"/>
    <cellStyle name="Accent6 41" xfId="6657"/>
    <cellStyle name="Accent6 41 2" xfId="6658"/>
    <cellStyle name="Accent6 42" xfId="6659"/>
    <cellStyle name="Accent6 42 2" xfId="6660"/>
    <cellStyle name="Accent6 43" xfId="6661"/>
    <cellStyle name="Accent6 43 2" xfId="6662"/>
    <cellStyle name="Accent6 44" xfId="6663"/>
    <cellStyle name="Accent6 44 2" xfId="6664"/>
    <cellStyle name="Accent6 45" xfId="6665"/>
    <cellStyle name="Accent6 45 2" xfId="6666"/>
    <cellStyle name="Accent6 46" xfId="6667"/>
    <cellStyle name="Accent6 46 2" xfId="6668"/>
    <cellStyle name="Accent6 47" xfId="6669"/>
    <cellStyle name="Accent6 47 2" xfId="6670"/>
    <cellStyle name="Accent6 48" xfId="6671"/>
    <cellStyle name="Accent6 48 2" xfId="6672"/>
    <cellStyle name="Accent6 49" xfId="6673"/>
    <cellStyle name="Accent6 49 2" xfId="6674"/>
    <cellStyle name="Accent6 5" xfId="6675"/>
    <cellStyle name="Accent6 5 2" xfId="6676"/>
    <cellStyle name="Accent6 50" xfId="6677"/>
    <cellStyle name="Accent6 50 2" xfId="6678"/>
    <cellStyle name="Accent6 51" xfId="6679"/>
    <cellStyle name="Accent6 51 2" xfId="6680"/>
    <cellStyle name="Accent6 52" xfId="6681"/>
    <cellStyle name="Accent6 52 2" xfId="6682"/>
    <cellStyle name="Accent6 53" xfId="6683"/>
    <cellStyle name="Accent6 53 2" xfId="6684"/>
    <cellStyle name="Accent6 54" xfId="6685"/>
    <cellStyle name="Accent6 54 2" xfId="6686"/>
    <cellStyle name="Accent6 55" xfId="6687"/>
    <cellStyle name="Accent6 55 2" xfId="6688"/>
    <cellStyle name="Accent6 56" xfId="6689"/>
    <cellStyle name="Accent6 56 2" xfId="6690"/>
    <cellStyle name="Accent6 57" xfId="6691"/>
    <cellStyle name="Accent6 57 2" xfId="6692"/>
    <cellStyle name="Accent6 58" xfId="6693"/>
    <cellStyle name="Accent6 58 2" xfId="6694"/>
    <cellStyle name="Accent6 59" xfId="6695"/>
    <cellStyle name="Accent6 59 2" xfId="6696"/>
    <cellStyle name="Accent6 6" xfId="6697"/>
    <cellStyle name="Accent6 6 2" xfId="6698"/>
    <cellStyle name="Accent6 60" xfId="6699"/>
    <cellStyle name="Accent6 60 2" xfId="6700"/>
    <cellStyle name="Accent6 61" xfId="6701"/>
    <cellStyle name="Accent6 61 2" xfId="6702"/>
    <cellStyle name="Accent6 62" xfId="6703"/>
    <cellStyle name="Accent6 62 2" xfId="6704"/>
    <cellStyle name="Accent6 63" xfId="6705"/>
    <cellStyle name="Accent6 63 2" xfId="6706"/>
    <cellStyle name="Accent6 64" xfId="6707"/>
    <cellStyle name="Accent6 64 2" xfId="6708"/>
    <cellStyle name="Accent6 65" xfId="6709"/>
    <cellStyle name="Accent6 65 2" xfId="6710"/>
    <cellStyle name="Accent6 66" xfId="6711"/>
    <cellStyle name="Accent6 66 2" xfId="6712"/>
    <cellStyle name="Accent6 67" xfId="6713"/>
    <cellStyle name="Accent6 67 2" xfId="6714"/>
    <cellStyle name="Accent6 68" xfId="6715"/>
    <cellStyle name="Accent6 68 2" xfId="6716"/>
    <cellStyle name="Accent6 69" xfId="6717"/>
    <cellStyle name="Accent6 69 2" xfId="6718"/>
    <cellStyle name="Accent6 7" xfId="6719"/>
    <cellStyle name="Accent6 7 2" xfId="6720"/>
    <cellStyle name="Accent6 70" xfId="6721"/>
    <cellStyle name="Accent6 70 2" xfId="6722"/>
    <cellStyle name="Accent6 71" xfId="6723"/>
    <cellStyle name="Accent6 71 2" xfId="6724"/>
    <cellStyle name="Accent6 72" xfId="6725"/>
    <cellStyle name="Accent6 73" xfId="6726"/>
    <cellStyle name="Accent6 74" xfId="6727"/>
    <cellStyle name="Accent6 75" xfId="6728"/>
    <cellStyle name="Accent6 76" xfId="6729"/>
    <cellStyle name="Accent6 77" xfId="6730"/>
    <cellStyle name="Accent6 78" xfId="6731"/>
    <cellStyle name="Accent6 79" xfId="6732"/>
    <cellStyle name="Accent6 8" xfId="6733"/>
    <cellStyle name="Accent6 8 2" xfId="6734"/>
    <cellStyle name="Accent6 80" xfId="6735"/>
    <cellStyle name="Accent6 81" xfId="6736"/>
    <cellStyle name="Accent6 82" xfId="6737"/>
    <cellStyle name="Accent6 83" xfId="6738"/>
    <cellStyle name="Accent6 84" xfId="6739"/>
    <cellStyle name="Accent6 85" xfId="6740"/>
    <cellStyle name="Accent6 86" xfId="6741"/>
    <cellStyle name="Accent6 87" xfId="6742"/>
    <cellStyle name="Accent6 88" xfId="6743"/>
    <cellStyle name="Accent6 89" xfId="6744"/>
    <cellStyle name="Accent6 9" xfId="6745"/>
    <cellStyle name="Accent6 9 2" xfId="6746"/>
    <cellStyle name="Accent6 90" xfId="6747"/>
    <cellStyle name="Accent6 91" xfId="6748"/>
    <cellStyle name="Accent6 92" xfId="6749"/>
    <cellStyle name="Accent6 93" xfId="6750"/>
    <cellStyle name="Accent6 94" xfId="6751"/>
    <cellStyle name="Accent6 95" xfId="6752"/>
    <cellStyle name="Accent6 96" xfId="6753"/>
    <cellStyle name="Accent6 97" xfId="6754"/>
    <cellStyle name="Accent6 98" xfId="6755"/>
    <cellStyle name="Accent6 99" xfId="6756"/>
    <cellStyle name="Bad 10" xfId="6757"/>
    <cellStyle name="Bad 10 2" xfId="6758"/>
    <cellStyle name="Bad 100" xfId="6759"/>
    <cellStyle name="Bad 101" xfId="6760"/>
    <cellStyle name="Bad 102" xfId="6761"/>
    <cellStyle name="Bad 103" xfId="6762"/>
    <cellStyle name="Bad 104" xfId="6763"/>
    <cellStyle name="Bad 105" xfId="6764"/>
    <cellStyle name="Bad 106" xfId="6765"/>
    <cellStyle name="Bad 107" xfId="6766"/>
    <cellStyle name="Bad 108" xfId="6767"/>
    <cellStyle name="Bad 109" xfId="6768"/>
    <cellStyle name="Bad 11" xfId="6769"/>
    <cellStyle name="Bad 11 2" xfId="6770"/>
    <cellStyle name="Bad 110" xfId="6771"/>
    <cellStyle name="Bad 111" xfId="6772"/>
    <cellStyle name="Bad 112" xfId="6773"/>
    <cellStyle name="Bad 113" xfId="6774"/>
    <cellStyle name="Bad 114" xfId="6775"/>
    <cellStyle name="Bad 115" xfId="6776"/>
    <cellStyle name="Bad 116" xfId="6777"/>
    <cellStyle name="Bad 117" xfId="6778"/>
    <cellStyle name="Bad 118" xfId="6779"/>
    <cellStyle name="Bad 12" xfId="6780"/>
    <cellStyle name="Bad 12 2" xfId="6781"/>
    <cellStyle name="Bad 13" xfId="6782"/>
    <cellStyle name="Bad 13 2" xfId="6783"/>
    <cellStyle name="Bad 14" xfId="6784"/>
    <cellStyle name="Bad 14 2" xfId="6785"/>
    <cellStyle name="Bad 15" xfId="6786"/>
    <cellStyle name="Bad 15 2" xfId="6787"/>
    <cellStyle name="Bad 16" xfId="6788"/>
    <cellStyle name="Bad 16 2" xfId="6789"/>
    <cellStyle name="Bad 17" xfId="6790"/>
    <cellStyle name="Bad 17 2" xfId="6791"/>
    <cellStyle name="Bad 18" xfId="6792"/>
    <cellStyle name="Bad 18 2" xfId="6793"/>
    <cellStyle name="Bad 19" xfId="6794"/>
    <cellStyle name="Bad 19 2" xfId="6795"/>
    <cellStyle name="Bad 2" xfId="6796"/>
    <cellStyle name="Bad 2 2" xfId="6797"/>
    <cellStyle name="Bad 2 3" xfId="6798"/>
    <cellStyle name="Bad 20" xfId="6799"/>
    <cellStyle name="Bad 20 2" xfId="6800"/>
    <cellStyle name="Bad 21" xfId="6801"/>
    <cellStyle name="Bad 21 2" xfId="6802"/>
    <cellStyle name="Bad 22" xfId="6803"/>
    <cellStyle name="Bad 22 2" xfId="6804"/>
    <cellStyle name="Bad 23" xfId="6805"/>
    <cellStyle name="Bad 23 2" xfId="6806"/>
    <cellStyle name="Bad 24" xfId="6807"/>
    <cellStyle name="Bad 24 2" xfId="6808"/>
    <cellStyle name="Bad 25" xfId="6809"/>
    <cellStyle name="Bad 25 2" xfId="6810"/>
    <cellStyle name="Bad 26" xfId="6811"/>
    <cellStyle name="Bad 26 2" xfId="6812"/>
    <cellStyle name="Bad 27" xfId="6813"/>
    <cellStyle name="Bad 27 2" xfId="6814"/>
    <cellStyle name="Bad 28" xfId="6815"/>
    <cellStyle name="Bad 28 2" xfId="6816"/>
    <cellStyle name="Bad 29" xfId="6817"/>
    <cellStyle name="Bad 29 2" xfId="6818"/>
    <cellStyle name="Bad 3" xfId="6819"/>
    <cellStyle name="Bad 3 2" xfId="6820"/>
    <cellStyle name="Bad 30" xfId="6821"/>
    <cellStyle name="Bad 30 2" xfId="6822"/>
    <cellStyle name="Bad 31" xfId="6823"/>
    <cellStyle name="Bad 31 2" xfId="6824"/>
    <cellStyle name="Bad 32" xfId="6825"/>
    <cellStyle name="Bad 32 2" xfId="6826"/>
    <cellStyle name="Bad 33" xfId="6827"/>
    <cellStyle name="Bad 33 2" xfId="6828"/>
    <cellStyle name="Bad 34" xfId="6829"/>
    <cellStyle name="Bad 34 2" xfId="6830"/>
    <cellStyle name="Bad 35" xfId="6831"/>
    <cellStyle name="Bad 35 2" xfId="6832"/>
    <cellStyle name="Bad 36" xfId="6833"/>
    <cellStyle name="Bad 36 2" xfId="6834"/>
    <cellStyle name="Bad 37" xfId="6835"/>
    <cellStyle name="Bad 37 2" xfId="6836"/>
    <cellStyle name="Bad 38" xfId="6837"/>
    <cellStyle name="Bad 38 2" xfId="6838"/>
    <cellStyle name="Bad 39" xfId="6839"/>
    <cellStyle name="Bad 39 2" xfId="6840"/>
    <cellStyle name="Bad 4" xfId="6841"/>
    <cellStyle name="Bad 4 2" xfId="6842"/>
    <cellStyle name="Bad 40" xfId="6843"/>
    <cellStyle name="Bad 40 2" xfId="6844"/>
    <cellStyle name="Bad 41" xfId="6845"/>
    <cellStyle name="Bad 41 2" xfId="6846"/>
    <cellStyle name="Bad 42" xfId="6847"/>
    <cellStyle name="Bad 42 2" xfId="6848"/>
    <cellStyle name="Bad 43" xfId="6849"/>
    <cellStyle name="Bad 43 2" xfId="6850"/>
    <cellStyle name="Bad 44" xfId="6851"/>
    <cellStyle name="Bad 44 2" xfId="6852"/>
    <cellStyle name="Bad 45" xfId="6853"/>
    <cellStyle name="Bad 45 2" xfId="6854"/>
    <cellStyle name="Bad 46" xfId="6855"/>
    <cellStyle name="Bad 46 2" xfId="6856"/>
    <cellStyle name="Bad 47" xfId="6857"/>
    <cellStyle name="Bad 47 2" xfId="6858"/>
    <cellStyle name="Bad 48" xfId="6859"/>
    <cellStyle name="Bad 48 2" xfId="6860"/>
    <cellStyle name="Bad 49" xfId="6861"/>
    <cellStyle name="Bad 49 2" xfId="6862"/>
    <cellStyle name="Bad 5" xfId="6863"/>
    <cellStyle name="Bad 5 2" xfId="6864"/>
    <cellStyle name="Bad 50" xfId="6865"/>
    <cellStyle name="Bad 50 2" xfId="6866"/>
    <cellStyle name="Bad 51" xfId="6867"/>
    <cellStyle name="Bad 51 2" xfId="6868"/>
    <cellStyle name="Bad 52" xfId="6869"/>
    <cellStyle name="Bad 52 2" xfId="6870"/>
    <cellStyle name="Bad 53" xfId="6871"/>
    <cellStyle name="Bad 53 2" xfId="6872"/>
    <cellStyle name="Bad 54" xfId="6873"/>
    <cellStyle name="Bad 54 2" xfId="6874"/>
    <cellStyle name="Bad 55" xfId="6875"/>
    <cellStyle name="Bad 55 2" xfId="6876"/>
    <cellStyle name="Bad 56" xfId="6877"/>
    <cellStyle name="Bad 56 2" xfId="6878"/>
    <cellStyle name="Bad 57" xfId="6879"/>
    <cellStyle name="Bad 57 2" xfId="6880"/>
    <cellStyle name="Bad 58" xfId="6881"/>
    <cellStyle name="Bad 58 2" xfId="6882"/>
    <cellStyle name="Bad 59" xfId="6883"/>
    <cellStyle name="Bad 59 2" xfId="6884"/>
    <cellStyle name="Bad 6" xfId="6885"/>
    <cellStyle name="Bad 6 2" xfId="6886"/>
    <cellStyle name="Bad 60" xfId="6887"/>
    <cellStyle name="Bad 60 2" xfId="6888"/>
    <cellStyle name="Bad 61" xfId="6889"/>
    <cellStyle name="Bad 61 2" xfId="6890"/>
    <cellStyle name="Bad 62" xfId="6891"/>
    <cellStyle name="Bad 62 2" xfId="6892"/>
    <cellStyle name="Bad 63" xfId="6893"/>
    <cellStyle name="Bad 63 2" xfId="6894"/>
    <cellStyle name="Bad 64" xfId="6895"/>
    <cellStyle name="Bad 64 2" xfId="6896"/>
    <cellStyle name="Bad 65" xfId="6897"/>
    <cellStyle name="Bad 65 2" xfId="6898"/>
    <cellStyle name="Bad 66" xfId="6899"/>
    <cellStyle name="Bad 66 2" xfId="6900"/>
    <cellStyle name="Bad 67" xfId="6901"/>
    <cellStyle name="Bad 67 2" xfId="6902"/>
    <cellStyle name="Bad 68" xfId="6903"/>
    <cellStyle name="Bad 68 2" xfId="6904"/>
    <cellStyle name="Bad 69" xfId="6905"/>
    <cellStyle name="Bad 69 2" xfId="6906"/>
    <cellStyle name="Bad 7" xfId="6907"/>
    <cellStyle name="Bad 7 2" xfId="6908"/>
    <cellStyle name="Bad 70" xfId="6909"/>
    <cellStyle name="Bad 70 2" xfId="6910"/>
    <cellStyle name="Bad 71" xfId="6911"/>
    <cellStyle name="Bad 71 2" xfId="6912"/>
    <cellStyle name="Bad 72" xfId="6913"/>
    <cellStyle name="Bad 73" xfId="6914"/>
    <cellStyle name="Bad 74" xfId="6915"/>
    <cellStyle name="Bad 75" xfId="6916"/>
    <cellStyle name="Bad 76" xfId="6917"/>
    <cellStyle name="Bad 77" xfId="6918"/>
    <cellStyle name="Bad 78" xfId="6919"/>
    <cellStyle name="Bad 79" xfId="6920"/>
    <cellStyle name="Bad 8" xfId="6921"/>
    <cellStyle name="Bad 8 2" xfId="6922"/>
    <cellStyle name="Bad 80" xfId="6923"/>
    <cellStyle name="Bad 81" xfId="6924"/>
    <cellStyle name="Bad 82" xfId="6925"/>
    <cellStyle name="Bad 83" xfId="6926"/>
    <cellStyle name="Bad 84" xfId="6927"/>
    <cellStyle name="Bad 85" xfId="6928"/>
    <cellStyle name="Bad 86" xfId="6929"/>
    <cellStyle name="Bad 87" xfId="6930"/>
    <cellStyle name="Bad 88" xfId="6931"/>
    <cellStyle name="Bad 89" xfId="6932"/>
    <cellStyle name="Bad 9" xfId="6933"/>
    <cellStyle name="Bad 9 2" xfId="6934"/>
    <cellStyle name="Bad 90" xfId="6935"/>
    <cellStyle name="Bad 91" xfId="6936"/>
    <cellStyle name="Bad 92" xfId="6937"/>
    <cellStyle name="Bad 93" xfId="6938"/>
    <cellStyle name="Bad 94" xfId="6939"/>
    <cellStyle name="Bad 95" xfId="6940"/>
    <cellStyle name="Bad 96" xfId="6941"/>
    <cellStyle name="Bad 97" xfId="6942"/>
    <cellStyle name="Bad 98" xfId="6943"/>
    <cellStyle name="Bad 99" xfId="6944"/>
    <cellStyle name="Calculation 10" xfId="6945"/>
    <cellStyle name="Calculation 10 2" xfId="6946"/>
    <cellStyle name="Calculation 100" xfId="6947"/>
    <cellStyle name="Calculation 101" xfId="6948"/>
    <cellStyle name="Calculation 102" xfId="6949"/>
    <cellStyle name="Calculation 103" xfId="6950"/>
    <cellStyle name="Calculation 104" xfId="6951"/>
    <cellStyle name="Calculation 105" xfId="6952"/>
    <cellStyle name="Calculation 106" xfId="6953"/>
    <cellStyle name="Calculation 107" xfId="6954"/>
    <cellStyle name="Calculation 108" xfId="6955"/>
    <cellStyle name="Calculation 109" xfId="6956"/>
    <cellStyle name="Calculation 11" xfId="6957"/>
    <cellStyle name="Calculation 11 2" xfId="6958"/>
    <cellStyle name="Calculation 110" xfId="6959"/>
    <cellStyle name="Calculation 111" xfId="6960"/>
    <cellStyle name="Calculation 112" xfId="6961"/>
    <cellStyle name="Calculation 113" xfId="6962"/>
    <cellStyle name="Calculation 114" xfId="6963"/>
    <cellStyle name="Calculation 115" xfId="6964"/>
    <cellStyle name="Calculation 116" xfId="6965"/>
    <cellStyle name="Calculation 117" xfId="6966"/>
    <cellStyle name="Calculation 118" xfId="6967"/>
    <cellStyle name="Calculation 12" xfId="6968"/>
    <cellStyle name="Calculation 12 2" xfId="6969"/>
    <cellStyle name="Calculation 13" xfId="6970"/>
    <cellStyle name="Calculation 13 2" xfId="6971"/>
    <cellStyle name="Calculation 14" xfId="6972"/>
    <cellStyle name="Calculation 14 2" xfId="6973"/>
    <cellStyle name="Calculation 15" xfId="6974"/>
    <cellStyle name="Calculation 15 2" xfId="6975"/>
    <cellStyle name="Calculation 16" xfId="6976"/>
    <cellStyle name="Calculation 16 2" xfId="6977"/>
    <cellStyle name="Calculation 17" xfId="6978"/>
    <cellStyle name="Calculation 17 2" xfId="6979"/>
    <cellStyle name="Calculation 18" xfId="6980"/>
    <cellStyle name="Calculation 18 2" xfId="6981"/>
    <cellStyle name="Calculation 19" xfId="6982"/>
    <cellStyle name="Calculation 19 2" xfId="6983"/>
    <cellStyle name="Calculation 2" xfId="6984"/>
    <cellStyle name="Calculation 2 2" xfId="6985"/>
    <cellStyle name="Calculation 2 3" xfId="6986"/>
    <cellStyle name="Calculation 20" xfId="6987"/>
    <cellStyle name="Calculation 20 2" xfId="6988"/>
    <cellStyle name="Calculation 21" xfId="6989"/>
    <cellStyle name="Calculation 21 2" xfId="6990"/>
    <cellStyle name="Calculation 22" xfId="6991"/>
    <cellStyle name="Calculation 22 2" xfId="6992"/>
    <cellStyle name="Calculation 23" xfId="6993"/>
    <cellStyle name="Calculation 23 2" xfId="6994"/>
    <cellStyle name="Calculation 24" xfId="6995"/>
    <cellStyle name="Calculation 24 2" xfId="6996"/>
    <cellStyle name="Calculation 25" xfId="6997"/>
    <cellStyle name="Calculation 25 2" xfId="6998"/>
    <cellStyle name="Calculation 26" xfId="6999"/>
    <cellStyle name="Calculation 26 2" xfId="7000"/>
    <cellStyle name="Calculation 27" xfId="7001"/>
    <cellStyle name="Calculation 27 2" xfId="7002"/>
    <cellStyle name="Calculation 28" xfId="7003"/>
    <cellStyle name="Calculation 28 2" xfId="7004"/>
    <cellStyle name="Calculation 29" xfId="7005"/>
    <cellStyle name="Calculation 29 2" xfId="7006"/>
    <cellStyle name="Calculation 3" xfId="7007"/>
    <cellStyle name="Calculation 3 2" xfId="7008"/>
    <cellStyle name="Calculation 30" xfId="7009"/>
    <cellStyle name="Calculation 30 2" xfId="7010"/>
    <cellStyle name="Calculation 31" xfId="7011"/>
    <cellStyle name="Calculation 31 2" xfId="7012"/>
    <cellStyle name="Calculation 32" xfId="7013"/>
    <cellStyle name="Calculation 32 2" xfId="7014"/>
    <cellStyle name="Calculation 33" xfId="7015"/>
    <cellStyle name="Calculation 33 2" xfId="7016"/>
    <cellStyle name="Calculation 34" xfId="7017"/>
    <cellStyle name="Calculation 34 2" xfId="7018"/>
    <cellStyle name="Calculation 35" xfId="7019"/>
    <cellStyle name="Calculation 35 2" xfId="7020"/>
    <cellStyle name="Calculation 36" xfId="7021"/>
    <cellStyle name="Calculation 36 2" xfId="7022"/>
    <cellStyle name="Calculation 37" xfId="7023"/>
    <cellStyle name="Calculation 37 2" xfId="7024"/>
    <cellStyle name="Calculation 38" xfId="7025"/>
    <cellStyle name="Calculation 38 2" xfId="7026"/>
    <cellStyle name="Calculation 39" xfId="7027"/>
    <cellStyle name="Calculation 39 2" xfId="7028"/>
    <cellStyle name="Calculation 4" xfId="7029"/>
    <cellStyle name="Calculation 4 2" xfId="7030"/>
    <cellStyle name="Calculation 40" xfId="7031"/>
    <cellStyle name="Calculation 40 2" xfId="7032"/>
    <cellStyle name="Calculation 41" xfId="7033"/>
    <cellStyle name="Calculation 41 2" xfId="7034"/>
    <cellStyle name="Calculation 42" xfId="7035"/>
    <cellStyle name="Calculation 42 2" xfId="7036"/>
    <cellStyle name="Calculation 43" xfId="7037"/>
    <cellStyle name="Calculation 43 2" xfId="7038"/>
    <cellStyle name="Calculation 44" xfId="7039"/>
    <cellStyle name="Calculation 44 2" xfId="7040"/>
    <cellStyle name="Calculation 45" xfId="7041"/>
    <cellStyle name="Calculation 45 2" xfId="7042"/>
    <cellStyle name="Calculation 46" xfId="7043"/>
    <cellStyle name="Calculation 46 2" xfId="7044"/>
    <cellStyle name="Calculation 47" xfId="7045"/>
    <cellStyle name="Calculation 47 2" xfId="7046"/>
    <cellStyle name="Calculation 48" xfId="7047"/>
    <cellStyle name="Calculation 48 2" xfId="7048"/>
    <cellStyle name="Calculation 49" xfId="7049"/>
    <cellStyle name="Calculation 49 2" xfId="7050"/>
    <cellStyle name="Calculation 5" xfId="7051"/>
    <cellStyle name="Calculation 5 2" xfId="7052"/>
    <cellStyle name="Calculation 50" xfId="7053"/>
    <cellStyle name="Calculation 50 2" xfId="7054"/>
    <cellStyle name="Calculation 51" xfId="7055"/>
    <cellStyle name="Calculation 51 2" xfId="7056"/>
    <cellStyle name="Calculation 52" xfId="7057"/>
    <cellStyle name="Calculation 52 2" xfId="7058"/>
    <cellStyle name="Calculation 53" xfId="7059"/>
    <cellStyle name="Calculation 53 2" xfId="7060"/>
    <cellStyle name="Calculation 54" xfId="7061"/>
    <cellStyle name="Calculation 54 2" xfId="7062"/>
    <cellStyle name="Calculation 55" xfId="7063"/>
    <cellStyle name="Calculation 55 2" xfId="7064"/>
    <cellStyle name="Calculation 56" xfId="7065"/>
    <cellStyle name="Calculation 56 2" xfId="7066"/>
    <cellStyle name="Calculation 57" xfId="7067"/>
    <cellStyle name="Calculation 57 2" xfId="7068"/>
    <cellStyle name="Calculation 58" xfId="7069"/>
    <cellStyle name="Calculation 58 2" xfId="7070"/>
    <cellStyle name="Calculation 59" xfId="7071"/>
    <cellStyle name="Calculation 59 2" xfId="7072"/>
    <cellStyle name="Calculation 6" xfId="7073"/>
    <cellStyle name="Calculation 6 2" xfId="7074"/>
    <cellStyle name="Calculation 60" xfId="7075"/>
    <cellStyle name="Calculation 60 2" xfId="7076"/>
    <cellStyle name="Calculation 61" xfId="7077"/>
    <cellStyle name="Calculation 61 2" xfId="7078"/>
    <cellStyle name="Calculation 62" xfId="7079"/>
    <cellStyle name="Calculation 62 2" xfId="7080"/>
    <cellStyle name="Calculation 63" xfId="7081"/>
    <cellStyle name="Calculation 63 2" xfId="7082"/>
    <cellStyle name="Calculation 64" xfId="7083"/>
    <cellStyle name="Calculation 64 2" xfId="7084"/>
    <cellStyle name="Calculation 65" xfId="7085"/>
    <cellStyle name="Calculation 65 2" xfId="7086"/>
    <cellStyle name="Calculation 66" xfId="7087"/>
    <cellStyle name="Calculation 66 2" xfId="7088"/>
    <cellStyle name="Calculation 67" xfId="7089"/>
    <cellStyle name="Calculation 67 2" xfId="7090"/>
    <cellStyle name="Calculation 68" xfId="7091"/>
    <cellStyle name="Calculation 68 2" xfId="7092"/>
    <cellStyle name="Calculation 69" xfId="7093"/>
    <cellStyle name="Calculation 69 2" xfId="7094"/>
    <cellStyle name="Calculation 7" xfId="7095"/>
    <cellStyle name="Calculation 7 2" xfId="7096"/>
    <cellStyle name="Calculation 70" xfId="7097"/>
    <cellStyle name="Calculation 70 2" xfId="7098"/>
    <cellStyle name="Calculation 71" xfId="7099"/>
    <cellStyle name="Calculation 71 2" xfId="7100"/>
    <cellStyle name="Calculation 72" xfId="7101"/>
    <cellStyle name="Calculation 73" xfId="7102"/>
    <cellStyle name="Calculation 74" xfId="7103"/>
    <cellStyle name="Calculation 75" xfId="7104"/>
    <cellStyle name="Calculation 76" xfId="7105"/>
    <cellStyle name="Calculation 77" xfId="7106"/>
    <cellStyle name="Calculation 78" xfId="7107"/>
    <cellStyle name="Calculation 79" xfId="7108"/>
    <cellStyle name="Calculation 8" xfId="7109"/>
    <cellStyle name="Calculation 8 2" xfId="7110"/>
    <cellStyle name="Calculation 80" xfId="7111"/>
    <cellStyle name="Calculation 81" xfId="7112"/>
    <cellStyle name="Calculation 82" xfId="7113"/>
    <cellStyle name="Calculation 83" xfId="7114"/>
    <cellStyle name="Calculation 84" xfId="7115"/>
    <cellStyle name="Calculation 85" xfId="7116"/>
    <cellStyle name="Calculation 86" xfId="7117"/>
    <cellStyle name="Calculation 87" xfId="7118"/>
    <cellStyle name="Calculation 88" xfId="7119"/>
    <cellStyle name="Calculation 89" xfId="7120"/>
    <cellStyle name="Calculation 9" xfId="7121"/>
    <cellStyle name="Calculation 9 2" xfId="7122"/>
    <cellStyle name="Calculation 90" xfId="7123"/>
    <cellStyle name="Calculation 91" xfId="7124"/>
    <cellStyle name="Calculation 92" xfId="7125"/>
    <cellStyle name="Calculation 93" xfId="7126"/>
    <cellStyle name="Calculation 94" xfId="7127"/>
    <cellStyle name="Calculation 95" xfId="7128"/>
    <cellStyle name="Calculation 96" xfId="7129"/>
    <cellStyle name="Calculation 97" xfId="7130"/>
    <cellStyle name="Calculation 98" xfId="7131"/>
    <cellStyle name="Calculation 99" xfId="7132"/>
    <cellStyle name="Check Cell 10" xfId="7133"/>
    <cellStyle name="Check Cell 11" xfId="7134"/>
    <cellStyle name="Check Cell 12" xfId="7135"/>
    <cellStyle name="Check Cell 13" xfId="7136"/>
    <cellStyle name="Check Cell 14" xfId="7137"/>
    <cellStyle name="Check Cell 15" xfId="7138"/>
    <cellStyle name="Check Cell 16" xfId="7139"/>
    <cellStyle name="Check Cell 17" xfId="7140"/>
    <cellStyle name="Check Cell 18" xfId="7141"/>
    <cellStyle name="Check Cell 19" xfId="7142"/>
    <cellStyle name="Check Cell 2" xfId="7143"/>
    <cellStyle name="Check Cell 2 2" xfId="7144"/>
    <cellStyle name="Check Cell 20" xfId="7145"/>
    <cellStyle name="Check Cell 21" xfId="7146"/>
    <cellStyle name="Check Cell 22" xfId="7147"/>
    <cellStyle name="Check Cell 23" xfId="7148"/>
    <cellStyle name="Check Cell 24" xfId="7149"/>
    <cellStyle name="Check Cell 25" xfId="7150"/>
    <cellStyle name="Check Cell 26" xfId="7151"/>
    <cellStyle name="Check Cell 27" xfId="7152"/>
    <cellStyle name="Check Cell 28" xfId="7153"/>
    <cellStyle name="Check Cell 29" xfId="7154"/>
    <cellStyle name="Check Cell 3" xfId="7155"/>
    <cellStyle name="Check Cell 30" xfId="7156"/>
    <cellStyle name="Check Cell 31" xfId="7157"/>
    <cellStyle name="Check Cell 32" xfId="7158"/>
    <cellStyle name="Check Cell 33" xfId="7159"/>
    <cellStyle name="Check Cell 34" xfId="7160"/>
    <cellStyle name="Check Cell 35" xfId="7161"/>
    <cellStyle name="Check Cell 36" xfId="7162"/>
    <cellStyle name="Check Cell 37" xfId="7163"/>
    <cellStyle name="Check Cell 38" xfId="7164"/>
    <cellStyle name="Check Cell 39" xfId="7165"/>
    <cellStyle name="Check Cell 4" xfId="7166"/>
    <cellStyle name="Check Cell 40" xfId="7167"/>
    <cellStyle name="Check Cell 41" xfId="7168"/>
    <cellStyle name="Check Cell 42" xfId="7169"/>
    <cellStyle name="Check Cell 43" xfId="7170"/>
    <cellStyle name="Check Cell 44" xfId="7171"/>
    <cellStyle name="Check Cell 45" xfId="7172"/>
    <cellStyle name="Check Cell 46" xfId="7173"/>
    <cellStyle name="Check Cell 47" xfId="7174"/>
    <cellStyle name="Check Cell 48" xfId="7175"/>
    <cellStyle name="Check Cell 49" xfId="7176"/>
    <cellStyle name="Check Cell 5" xfId="7177"/>
    <cellStyle name="Check Cell 50" xfId="7178"/>
    <cellStyle name="Check Cell 51" xfId="7179"/>
    <cellStyle name="Check Cell 52" xfId="7180"/>
    <cellStyle name="Check Cell 53" xfId="7181"/>
    <cellStyle name="Check Cell 54" xfId="7182"/>
    <cellStyle name="Check Cell 55" xfId="7183"/>
    <cellStyle name="Check Cell 56" xfId="7184"/>
    <cellStyle name="Check Cell 57" xfId="7185"/>
    <cellStyle name="Check Cell 58" xfId="7186"/>
    <cellStyle name="Check Cell 59" xfId="7187"/>
    <cellStyle name="Check Cell 6" xfId="7188"/>
    <cellStyle name="Check Cell 60" xfId="7189"/>
    <cellStyle name="Check Cell 61" xfId="7190"/>
    <cellStyle name="Check Cell 62" xfId="7191"/>
    <cellStyle name="Check Cell 63" xfId="7192"/>
    <cellStyle name="Check Cell 64" xfId="7193"/>
    <cellStyle name="Check Cell 65" xfId="7194"/>
    <cellStyle name="Check Cell 66" xfId="7195"/>
    <cellStyle name="Check Cell 67" xfId="7196"/>
    <cellStyle name="Check Cell 68" xfId="7197"/>
    <cellStyle name="Check Cell 69" xfId="7198"/>
    <cellStyle name="Check Cell 7" xfId="7199"/>
    <cellStyle name="Check Cell 70" xfId="7200"/>
    <cellStyle name="Check Cell 71" xfId="7201"/>
    <cellStyle name="Check Cell 72" xfId="7202"/>
    <cellStyle name="Check Cell 8" xfId="7203"/>
    <cellStyle name="Check Cell 9" xfId="7204"/>
    <cellStyle name="ColumnAttributeAbovePrompt" xfId="7205"/>
    <cellStyle name="ColumnAttributePrompt" xfId="7206"/>
    <cellStyle name="ColumnAttributeValue" xfId="7207"/>
    <cellStyle name="ColumnHeadingPrompt" xfId="7208"/>
    <cellStyle name="ColumnHeadingValue" xfId="7209"/>
    <cellStyle name="Comma" xfId="1" builtinId="3"/>
    <cellStyle name="Comma 2" xfId="7210"/>
    <cellStyle name="Comma 2 2" xfId="7211"/>
    <cellStyle name="Comma 3" xfId="7212"/>
    <cellStyle name="Comma 4" xfId="7213"/>
    <cellStyle name="Comma 5" xfId="7214"/>
    <cellStyle name="Comma 6" xfId="7215"/>
    <cellStyle name="Comma 6 2" xfId="7216"/>
    <cellStyle name="Comma 6 3" xfId="7217"/>
    <cellStyle name="Comma 7" xfId="7218"/>
    <cellStyle name="Comma 8" xfId="11126"/>
    <cellStyle name="ContentsHyperlink" xfId="3"/>
    <cellStyle name="Currency" xfId="11131" builtinId="4"/>
    <cellStyle name="Currency 2" xfId="7219"/>
    <cellStyle name="Currency 2 2" xfId="7220"/>
    <cellStyle name="Currency 27" xfId="7221"/>
    <cellStyle name="Currency 27 2" xfId="7222"/>
    <cellStyle name="Currency 27 3" xfId="7223"/>
    <cellStyle name="Currency 28" xfId="7224"/>
    <cellStyle name="Currency 28 2" xfId="7225"/>
    <cellStyle name="Currency 28 3" xfId="7226"/>
    <cellStyle name="Currency 29" xfId="7227"/>
    <cellStyle name="Currency 29 2" xfId="7228"/>
    <cellStyle name="Currency 29 3" xfId="7229"/>
    <cellStyle name="Currency 3" xfId="7230"/>
    <cellStyle name="Currency 3 2" xfId="7231"/>
    <cellStyle name="Currency 3 3" xfId="7232"/>
    <cellStyle name="Currency 30" xfId="7233"/>
    <cellStyle name="Currency 30 2" xfId="7234"/>
    <cellStyle name="Currency 30 3" xfId="7235"/>
    <cellStyle name="Currency 31" xfId="7236"/>
    <cellStyle name="Currency 31 2" xfId="7237"/>
    <cellStyle name="Currency 31 3" xfId="7238"/>
    <cellStyle name="Currency 32" xfId="7239"/>
    <cellStyle name="Currency 32 2" xfId="7240"/>
    <cellStyle name="Currency 32 3" xfId="7241"/>
    <cellStyle name="Currency 33" xfId="7242"/>
    <cellStyle name="Currency 33 2" xfId="7243"/>
    <cellStyle name="Currency 33 3" xfId="7244"/>
    <cellStyle name="Currency 34" xfId="7245"/>
    <cellStyle name="Currency 34 2" xfId="7246"/>
    <cellStyle name="Currency 34 3" xfId="7247"/>
    <cellStyle name="Currency 4" xfId="7248"/>
    <cellStyle name="Currency 4 2" xfId="7249"/>
    <cellStyle name="Currency 4 3" xfId="7250"/>
    <cellStyle name="Currency 5" xfId="7251"/>
    <cellStyle name="Currency 5 2" xfId="7252"/>
    <cellStyle name="Currency 5 3" xfId="7253"/>
    <cellStyle name="Currency 6" xfId="7254"/>
    <cellStyle name="Currency 6 2" xfId="7255"/>
    <cellStyle name="Currency 6 3" xfId="7256"/>
    <cellStyle name="Explanatory Text 10" xfId="7257"/>
    <cellStyle name="Explanatory Text 11" xfId="7258"/>
    <cellStyle name="Explanatory Text 12" xfId="7259"/>
    <cellStyle name="Explanatory Text 13" xfId="7260"/>
    <cellStyle name="Explanatory Text 14" xfId="7261"/>
    <cellStyle name="Explanatory Text 15" xfId="7262"/>
    <cellStyle name="Explanatory Text 16" xfId="7263"/>
    <cellStyle name="Explanatory Text 17" xfId="7264"/>
    <cellStyle name="Explanatory Text 18" xfId="7265"/>
    <cellStyle name="Explanatory Text 19" xfId="7266"/>
    <cellStyle name="Explanatory Text 2" xfId="7267"/>
    <cellStyle name="Explanatory Text 2 2" xfId="7268"/>
    <cellStyle name="Explanatory Text 20" xfId="7269"/>
    <cellStyle name="Explanatory Text 21" xfId="7270"/>
    <cellStyle name="Explanatory Text 22" xfId="7271"/>
    <cellStyle name="Explanatory Text 23" xfId="7272"/>
    <cellStyle name="Explanatory Text 24" xfId="7273"/>
    <cellStyle name="Explanatory Text 25" xfId="7274"/>
    <cellStyle name="Explanatory Text 26" xfId="7275"/>
    <cellStyle name="Explanatory Text 27" xfId="7276"/>
    <cellStyle name="Explanatory Text 28" xfId="7277"/>
    <cellStyle name="Explanatory Text 29" xfId="7278"/>
    <cellStyle name="Explanatory Text 3" xfId="7279"/>
    <cellStyle name="Explanatory Text 30" xfId="7280"/>
    <cellStyle name="Explanatory Text 31" xfId="7281"/>
    <cellStyle name="Explanatory Text 32" xfId="7282"/>
    <cellStyle name="Explanatory Text 33" xfId="7283"/>
    <cellStyle name="Explanatory Text 34" xfId="7284"/>
    <cellStyle name="Explanatory Text 35" xfId="7285"/>
    <cellStyle name="Explanatory Text 36" xfId="7286"/>
    <cellStyle name="Explanatory Text 37" xfId="7287"/>
    <cellStyle name="Explanatory Text 38" xfId="7288"/>
    <cellStyle name="Explanatory Text 39" xfId="7289"/>
    <cellStyle name="Explanatory Text 4" xfId="7290"/>
    <cellStyle name="Explanatory Text 40" xfId="7291"/>
    <cellStyle name="Explanatory Text 41" xfId="7292"/>
    <cellStyle name="Explanatory Text 42" xfId="7293"/>
    <cellStyle name="Explanatory Text 43" xfId="7294"/>
    <cellStyle name="Explanatory Text 44" xfId="7295"/>
    <cellStyle name="Explanatory Text 45" xfId="7296"/>
    <cellStyle name="Explanatory Text 46" xfId="7297"/>
    <cellStyle name="Explanatory Text 47" xfId="7298"/>
    <cellStyle name="Explanatory Text 48" xfId="7299"/>
    <cellStyle name="Explanatory Text 49" xfId="7300"/>
    <cellStyle name="Explanatory Text 5" xfId="7301"/>
    <cellStyle name="Explanatory Text 50" xfId="7302"/>
    <cellStyle name="Explanatory Text 51" xfId="7303"/>
    <cellStyle name="Explanatory Text 52" xfId="7304"/>
    <cellStyle name="Explanatory Text 53" xfId="7305"/>
    <cellStyle name="Explanatory Text 54" xfId="7306"/>
    <cellStyle name="Explanatory Text 55" xfId="7307"/>
    <cellStyle name="Explanatory Text 56" xfId="7308"/>
    <cellStyle name="Explanatory Text 57" xfId="7309"/>
    <cellStyle name="Explanatory Text 58" xfId="7310"/>
    <cellStyle name="Explanatory Text 59" xfId="7311"/>
    <cellStyle name="Explanatory Text 6" xfId="7312"/>
    <cellStyle name="Explanatory Text 60" xfId="7313"/>
    <cellStyle name="Explanatory Text 61" xfId="7314"/>
    <cellStyle name="Explanatory Text 62" xfId="7315"/>
    <cellStyle name="Explanatory Text 63" xfId="7316"/>
    <cellStyle name="Explanatory Text 64" xfId="7317"/>
    <cellStyle name="Explanatory Text 65" xfId="7318"/>
    <cellStyle name="Explanatory Text 66" xfId="7319"/>
    <cellStyle name="Explanatory Text 67" xfId="7320"/>
    <cellStyle name="Explanatory Text 68" xfId="7321"/>
    <cellStyle name="Explanatory Text 69" xfId="7322"/>
    <cellStyle name="Explanatory Text 7" xfId="7323"/>
    <cellStyle name="Explanatory Text 70" xfId="7324"/>
    <cellStyle name="Explanatory Text 71" xfId="7325"/>
    <cellStyle name="Explanatory Text 72" xfId="7326"/>
    <cellStyle name="Explanatory Text 8" xfId="7327"/>
    <cellStyle name="Explanatory Text 9" xfId="7328"/>
    <cellStyle name="Good 10" xfId="7329"/>
    <cellStyle name="Good 10 2" xfId="7330"/>
    <cellStyle name="Good 100" xfId="7331"/>
    <cellStyle name="Good 101" xfId="7332"/>
    <cellStyle name="Good 102" xfId="7333"/>
    <cellStyle name="Good 103" xfId="7334"/>
    <cellStyle name="Good 104" xfId="7335"/>
    <cellStyle name="Good 105" xfId="7336"/>
    <cellStyle name="Good 106" xfId="7337"/>
    <cellStyle name="Good 107" xfId="7338"/>
    <cellStyle name="Good 108" xfId="7339"/>
    <cellStyle name="Good 109" xfId="7340"/>
    <cellStyle name="Good 11" xfId="7341"/>
    <cellStyle name="Good 11 2" xfId="7342"/>
    <cellStyle name="Good 110" xfId="7343"/>
    <cellStyle name="Good 111" xfId="7344"/>
    <cellStyle name="Good 112" xfId="7345"/>
    <cellStyle name="Good 113" xfId="7346"/>
    <cellStyle name="Good 114" xfId="7347"/>
    <cellStyle name="Good 115" xfId="7348"/>
    <cellStyle name="Good 116" xfId="7349"/>
    <cellStyle name="Good 117" xfId="7350"/>
    <cellStyle name="Good 118" xfId="7351"/>
    <cellStyle name="Good 12" xfId="7352"/>
    <cellStyle name="Good 12 2" xfId="7353"/>
    <cellStyle name="Good 13" xfId="7354"/>
    <cellStyle name="Good 13 2" xfId="7355"/>
    <cellStyle name="Good 14" xfId="7356"/>
    <cellStyle name="Good 14 2" xfId="7357"/>
    <cellStyle name="Good 15" xfId="7358"/>
    <cellStyle name="Good 15 2" xfId="7359"/>
    <cellStyle name="Good 16" xfId="7360"/>
    <cellStyle name="Good 16 2" xfId="7361"/>
    <cellStyle name="Good 17" xfId="7362"/>
    <cellStyle name="Good 17 2" xfId="7363"/>
    <cellStyle name="Good 18" xfId="7364"/>
    <cellStyle name="Good 18 2" xfId="7365"/>
    <cellStyle name="Good 19" xfId="7366"/>
    <cellStyle name="Good 19 2" xfId="7367"/>
    <cellStyle name="Good 2" xfId="7368"/>
    <cellStyle name="Good 2 2" xfId="7369"/>
    <cellStyle name="Good 2 3" xfId="7370"/>
    <cellStyle name="Good 20" xfId="7371"/>
    <cellStyle name="Good 20 2" xfId="7372"/>
    <cellStyle name="Good 21" xfId="7373"/>
    <cellStyle name="Good 21 2" xfId="7374"/>
    <cellStyle name="Good 22" xfId="7375"/>
    <cellStyle name="Good 22 2" xfId="7376"/>
    <cellStyle name="Good 23" xfId="7377"/>
    <cellStyle name="Good 23 2" xfId="7378"/>
    <cellStyle name="Good 24" xfId="7379"/>
    <cellStyle name="Good 24 2" xfId="7380"/>
    <cellStyle name="Good 25" xfId="7381"/>
    <cellStyle name="Good 25 2" xfId="7382"/>
    <cellStyle name="Good 26" xfId="7383"/>
    <cellStyle name="Good 26 2" xfId="7384"/>
    <cellStyle name="Good 27" xfId="7385"/>
    <cellStyle name="Good 27 2" xfId="7386"/>
    <cellStyle name="Good 28" xfId="7387"/>
    <cellStyle name="Good 28 2" xfId="7388"/>
    <cellStyle name="Good 29" xfId="7389"/>
    <cellStyle name="Good 29 2" xfId="7390"/>
    <cellStyle name="Good 3" xfId="7391"/>
    <cellStyle name="Good 3 2" xfId="7392"/>
    <cellStyle name="Good 30" xfId="7393"/>
    <cellStyle name="Good 30 2" xfId="7394"/>
    <cellStyle name="Good 31" xfId="7395"/>
    <cellStyle name="Good 31 2" xfId="7396"/>
    <cellStyle name="Good 32" xfId="7397"/>
    <cellStyle name="Good 32 2" xfId="7398"/>
    <cellStyle name="Good 33" xfId="7399"/>
    <cellStyle name="Good 33 2" xfId="7400"/>
    <cellStyle name="Good 34" xfId="7401"/>
    <cellStyle name="Good 34 2" xfId="7402"/>
    <cellStyle name="Good 35" xfId="7403"/>
    <cellStyle name="Good 35 2" xfId="7404"/>
    <cellStyle name="Good 36" xfId="7405"/>
    <cellStyle name="Good 36 2" xfId="7406"/>
    <cellStyle name="Good 37" xfId="7407"/>
    <cellStyle name="Good 37 2" xfId="7408"/>
    <cellStyle name="Good 38" xfId="7409"/>
    <cellStyle name="Good 38 2" xfId="7410"/>
    <cellStyle name="Good 39" xfId="7411"/>
    <cellStyle name="Good 39 2" xfId="7412"/>
    <cellStyle name="Good 4" xfId="7413"/>
    <cellStyle name="Good 4 2" xfId="7414"/>
    <cellStyle name="Good 40" xfId="7415"/>
    <cellStyle name="Good 40 2" xfId="7416"/>
    <cellStyle name="Good 41" xfId="7417"/>
    <cellStyle name="Good 41 2" xfId="7418"/>
    <cellStyle name="Good 42" xfId="7419"/>
    <cellStyle name="Good 42 2" xfId="7420"/>
    <cellStyle name="Good 43" xfId="7421"/>
    <cellStyle name="Good 43 2" xfId="7422"/>
    <cellStyle name="Good 44" xfId="7423"/>
    <cellStyle name="Good 44 2" xfId="7424"/>
    <cellStyle name="Good 45" xfId="7425"/>
    <cellStyle name="Good 45 2" xfId="7426"/>
    <cellStyle name="Good 46" xfId="7427"/>
    <cellStyle name="Good 46 2" xfId="7428"/>
    <cellStyle name="Good 47" xfId="7429"/>
    <cellStyle name="Good 47 2" xfId="7430"/>
    <cellStyle name="Good 48" xfId="7431"/>
    <cellStyle name="Good 48 2" xfId="7432"/>
    <cellStyle name="Good 49" xfId="7433"/>
    <cellStyle name="Good 49 2" xfId="7434"/>
    <cellStyle name="Good 5" xfId="7435"/>
    <cellStyle name="Good 5 2" xfId="7436"/>
    <cellStyle name="Good 50" xfId="7437"/>
    <cellStyle name="Good 50 2" xfId="7438"/>
    <cellStyle name="Good 51" xfId="7439"/>
    <cellStyle name="Good 51 2" xfId="7440"/>
    <cellStyle name="Good 52" xfId="7441"/>
    <cellStyle name="Good 52 2" xfId="7442"/>
    <cellStyle name="Good 53" xfId="7443"/>
    <cellStyle name="Good 53 2" xfId="7444"/>
    <cellStyle name="Good 54" xfId="7445"/>
    <cellStyle name="Good 54 2" xfId="7446"/>
    <cellStyle name="Good 55" xfId="7447"/>
    <cellStyle name="Good 55 2" xfId="7448"/>
    <cellStyle name="Good 56" xfId="7449"/>
    <cellStyle name="Good 56 2" xfId="7450"/>
    <cellStyle name="Good 57" xfId="7451"/>
    <cellStyle name="Good 57 2" xfId="7452"/>
    <cellStyle name="Good 58" xfId="7453"/>
    <cellStyle name="Good 58 2" xfId="7454"/>
    <cellStyle name="Good 59" xfId="7455"/>
    <cellStyle name="Good 59 2" xfId="7456"/>
    <cellStyle name="Good 6" xfId="7457"/>
    <cellStyle name="Good 6 2" xfId="7458"/>
    <cellStyle name="Good 60" xfId="7459"/>
    <cellStyle name="Good 60 2" xfId="7460"/>
    <cellStyle name="Good 61" xfId="7461"/>
    <cellStyle name="Good 61 2" xfId="7462"/>
    <cellStyle name="Good 62" xfId="7463"/>
    <cellStyle name="Good 62 2" xfId="7464"/>
    <cellStyle name="Good 63" xfId="7465"/>
    <cellStyle name="Good 63 2" xfId="7466"/>
    <cellStyle name="Good 64" xfId="7467"/>
    <cellStyle name="Good 64 2" xfId="7468"/>
    <cellStyle name="Good 65" xfId="7469"/>
    <cellStyle name="Good 65 2" xfId="7470"/>
    <cellStyle name="Good 66" xfId="7471"/>
    <cellStyle name="Good 66 2" xfId="7472"/>
    <cellStyle name="Good 67" xfId="7473"/>
    <cellStyle name="Good 67 2" xfId="7474"/>
    <cellStyle name="Good 68" xfId="7475"/>
    <cellStyle name="Good 68 2" xfId="7476"/>
    <cellStyle name="Good 69" xfId="7477"/>
    <cellStyle name="Good 69 2" xfId="7478"/>
    <cellStyle name="Good 7" xfId="7479"/>
    <cellStyle name="Good 7 2" xfId="7480"/>
    <cellStyle name="Good 70" xfId="7481"/>
    <cellStyle name="Good 70 2" xfId="7482"/>
    <cellStyle name="Good 71" xfId="7483"/>
    <cellStyle name="Good 71 2" xfId="7484"/>
    <cellStyle name="Good 72" xfId="7485"/>
    <cellStyle name="Good 73" xfId="7486"/>
    <cellStyle name="Good 74" xfId="7487"/>
    <cellStyle name="Good 75" xfId="7488"/>
    <cellStyle name="Good 76" xfId="7489"/>
    <cellStyle name="Good 77" xfId="7490"/>
    <cellStyle name="Good 78" xfId="7491"/>
    <cellStyle name="Good 79" xfId="7492"/>
    <cellStyle name="Good 8" xfId="7493"/>
    <cellStyle name="Good 8 2" xfId="7494"/>
    <cellStyle name="Good 80" xfId="7495"/>
    <cellStyle name="Good 81" xfId="7496"/>
    <cellStyle name="Good 82" xfId="7497"/>
    <cellStyle name="Good 83" xfId="7498"/>
    <cellStyle name="Good 84" xfId="7499"/>
    <cellStyle name="Good 85" xfId="7500"/>
    <cellStyle name="Good 86" xfId="7501"/>
    <cellStyle name="Good 87" xfId="7502"/>
    <cellStyle name="Good 88" xfId="7503"/>
    <cellStyle name="Good 89" xfId="7504"/>
    <cellStyle name="Good 9" xfId="7505"/>
    <cellStyle name="Good 9 2" xfId="7506"/>
    <cellStyle name="Good 90" xfId="7507"/>
    <cellStyle name="Good 91" xfId="7508"/>
    <cellStyle name="Good 92" xfId="7509"/>
    <cellStyle name="Good 93" xfId="7510"/>
    <cellStyle name="Good 94" xfId="7511"/>
    <cellStyle name="Good 95" xfId="7512"/>
    <cellStyle name="Good 96" xfId="7513"/>
    <cellStyle name="Good 97" xfId="7514"/>
    <cellStyle name="Good 98" xfId="7515"/>
    <cellStyle name="Good 99" xfId="7516"/>
    <cellStyle name="Heading 1 10" xfId="7517"/>
    <cellStyle name="Heading 1 100" xfId="7518"/>
    <cellStyle name="Heading 1 101" xfId="7519"/>
    <cellStyle name="Heading 1 102" xfId="7520"/>
    <cellStyle name="Heading 1 103" xfId="7521"/>
    <cellStyle name="Heading 1 104" xfId="7522"/>
    <cellStyle name="Heading 1 105" xfId="7523"/>
    <cellStyle name="Heading 1 106" xfId="7524"/>
    <cellStyle name="Heading 1 107" xfId="7525"/>
    <cellStyle name="Heading 1 108" xfId="7526"/>
    <cellStyle name="Heading 1 109" xfId="7527"/>
    <cellStyle name="Heading 1 11" xfId="7528"/>
    <cellStyle name="Heading 1 110" xfId="7529"/>
    <cellStyle name="Heading 1 111" xfId="7530"/>
    <cellStyle name="Heading 1 112" xfId="7531"/>
    <cellStyle name="Heading 1 113" xfId="7532"/>
    <cellStyle name="Heading 1 114" xfId="7533"/>
    <cellStyle name="Heading 1 115" xfId="7534"/>
    <cellStyle name="Heading 1 116" xfId="7535"/>
    <cellStyle name="Heading 1 117" xfId="7536"/>
    <cellStyle name="Heading 1 118" xfId="7537"/>
    <cellStyle name="Heading 1 12" xfId="7538"/>
    <cellStyle name="Heading 1 13" xfId="7539"/>
    <cellStyle name="Heading 1 14" xfId="7540"/>
    <cellStyle name="Heading 1 15" xfId="7541"/>
    <cellStyle name="Heading 1 16" xfId="7542"/>
    <cellStyle name="Heading 1 17" xfId="7543"/>
    <cellStyle name="Heading 1 18" xfId="7544"/>
    <cellStyle name="Heading 1 19" xfId="7545"/>
    <cellStyle name="Heading 1 2" xfId="7546"/>
    <cellStyle name="Heading 1 2 2" xfId="7547"/>
    <cellStyle name="Heading 1 20" xfId="7548"/>
    <cellStyle name="Heading 1 21" xfId="7549"/>
    <cellStyle name="Heading 1 22" xfId="7550"/>
    <cellStyle name="Heading 1 23" xfId="7551"/>
    <cellStyle name="Heading 1 24" xfId="7552"/>
    <cellStyle name="Heading 1 25" xfId="7553"/>
    <cellStyle name="Heading 1 26" xfId="7554"/>
    <cellStyle name="Heading 1 27" xfId="7555"/>
    <cellStyle name="Heading 1 28" xfId="7556"/>
    <cellStyle name="Heading 1 29" xfId="7557"/>
    <cellStyle name="Heading 1 3" xfId="7558"/>
    <cellStyle name="Heading 1 30" xfId="7559"/>
    <cellStyle name="Heading 1 31" xfId="7560"/>
    <cellStyle name="Heading 1 32" xfId="7561"/>
    <cellStyle name="Heading 1 33" xfId="7562"/>
    <cellStyle name="Heading 1 34" xfId="7563"/>
    <cellStyle name="Heading 1 35" xfId="7564"/>
    <cellStyle name="Heading 1 36" xfId="7565"/>
    <cellStyle name="Heading 1 37" xfId="7566"/>
    <cellStyle name="Heading 1 38" xfId="7567"/>
    <cellStyle name="Heading 1 39" xfId="7568"/>
    <cellStyle name="Heading 1 4" xfId="7569"/>
    <cellStyle name="Heading 1 40" xfId="7570"/>
    <cellStyle name="Heading 1 41" xfId="7571"/>
    <cellStyle name="Heading 1 42" xfId="7572"/>
    <cellStyle name="Heading 1 43" xfId="7573"/>
    <cellStyle name="Heading 1 44" xfId="7574"/>
    <cellStyle name="Heading 1 45" xfId="7575"/>
    <cellStyle name="Heading 1 46" xfId="7576"/>
    <cellStyle name="Heading 1 47" xfId="7577"/>
    <cellStyle name="Heading 1 48" xfId="7578"/>
    <cellStyle name="Heading 1 49" xfId="7579"/>
    <cellStyle name="Heading 1 5" xfId="7580"/>
    <cellStyle name="Heading 1 50" xfId="7581"/>
    <cellStyle name="Heading 1 51" xfId="7582"/>
    <cellStyle name="Heading 1 52" xfId="7583"/>
    <cellStyle name="Heading 1 53" xfId="7584"/>
    <cellStyle name="Heading 1 54" xfId="7585"/>
    <cellStyle name="Heading 1 55" xfId="7586"/>
    <cellStyle name="Heading 1 56" xfId="7587"/>
    <cellStyle name="Heading 1 57" xfId="7588"/>
    <cellStyle name="Heading 1 58" xfId="7589"/>
    <cellStyle name="Heading 1 59" xfId="7590"/>
    <cellStyle name="Heading 1 6" xfId="7591"/>
    <cellStyle name="Heading 1 60" xfId="7592"/>
    <cellStyle name="Heading 1 61" xfId="7593"/>
    <cellStyle name="Heading 1 62" xfId="7594"/>
    <cellStyle name="Heading 1 63" xfId="7595"/>
    <cellStyle name="Heading 1 64" xfId="7596"/>
    <cellStyle name="Heading 1 65" xfId="7597"/>
    <cellStyle name="Heading 1 66" xfId="7598"/>
    <cellStyle name="Heading 1 67" xfId="7599"/>
    <cellStyle name="Heading 1 68" xfId="7600"/>
    <cellStyle name="Heading 1 69" xfId="7601"/>
    <cellStyle name="Heading 1 7" xfId="7602"/>
    <cellStyle name="Heading 1 70" xfId="7603"/>
    <cellStyle name="Heading 1 71" xfId="7604"/>
    <cellStyle name="Heading 1 72" xfId="7605"/>
    <cellStyle name="Heading 1 73" xfId="7606"/>
    <cellStyle name="Heading 1 74" xfId="7607"/>
    <cellStyle name="Heading 1 75" xfId="7608"/>
    <cellStyle name="Heading 1 76" xfId="7609"/>
    <cellStyle name="Heading 1 77" xfId="7610"/>
    <cellStyle name="Heading 1 78" xfId="7611"/>
    <cellStyle name="Heading 1 79" xfId="7612"/>
    <cellStyle name="Heading 1 8" xfId="7613"/>
    <cellStyle name="Heading 1 80" xfId="7614"/>
    <cellStyle name="Heading 1 81" xfId="7615"/>
    <cellStyle name="Heading 1 82" xfId="7616"/>
    <cellStyle name="Heading 1 83" xfId="7617"/>
    <cellStyle name="Heading 1 84" xfId="7618"/>
    <cellStyle name="Heading 1 85" xfId="7619"/>
    <cellStyle name="Heading 1 86" xfId="7620"/>
    <cellStyle name="Heading 1 87" xfId="7621"/>
    <cellStyle name="Heading 1 88" xfId="7622"/>
    <cellStyle name="Heading 1 89" xfId="7623"/>
    <cellStyle name="Heading 1 9" xfId="7624"/>
    <cellStyle name="Heading 1 90" xfId="7625"/>
    <cellStyle name="Heading 1 91" xfId="7626"/>
    <cellStyle name="Heading 1 92" xfId="7627"/>
    <cellStyle name="Heading 1 93" xfId="7628"/>
    <cellStyle name="Heading 1 94" xfId="7629"/>
    <cellStyle name="Heading 1 95" xfId="7630"/>
    <cellStyle name="Heading 1 96" xfId="7631"/>
    <cellStyle name="Heading 1 97" xfId="7632"/>
    <cellStyle name="Heading 1 98" xfId="7633"/>
    <cellStyle name="Heading 1 99" xfId="7634"/>
    <cellStyle name="Heading 2 10" xfId="7635"/>
    <cellStyle name="Heading 2 100" xfId="7636"/>
    <cellStyle name="Heading 2 101" xfId="7637"/>
    <cellStyle name="Heading 2 102" xfId="7638"/>
    <cellStyle name="Heading 2 103" xfId="7639"/>
    <cellStyle name="Heading 2 104" xfId="7640"/>
    <cellStyle name="Heading 2 105" xfId="7641"/>
    <cellStyle name="Heading 2 106" xfId="7642"/>
    <cellStyle name="Heading 2 107" xfId="7643"/>
    <cellStyle name="Heading 2 108" xfId="7644"/>
    <cellStyle name="Heading 2 109" xfId="7645"/>
    <cellStyle name="Heading 2 11" xfId="7646"/>
    <cellStyle name="Heading 2 110" xfId="7647"/>
    <cellStyle name="Heading 2 111" xfId="7648"/>
    <cellStyle name="Heading 2 112" xfId="7649"/>
    <cellStyle name="Heading 2 113" xfId="7650"/>
    <cellStyle name="Heading 2 114" xfId="7651"/>
    <cellStyle name="Heading 2 115" xfId="7652"/>
    <cellStyle name="Heading 2 116" xfId="7653"/>
    <cellStyle name="Heading 2 117" xfId="7654"/>
    <cellStyle name="Heading 2 118" xfId="7655"/>
    <cellStyle name="Heading 2 12" xfId="7656"/>
    <cellStyle name="Heading 2 13" xfId="7657"/>
    <cellStyle name="Heading 2 14" xfId="7658"/>
    <cellStyle name="Heading 2 15" xfId="7659"/>
    <cellStyle name="Heading 2 16" xfId="7660"/>
    <cellStyle name="Heading 2 17" xfId="7661"/>
    <cellStyle name="Heading 2 18" xfId="7662"/>
    <cellStyle name="Heading 2 19" xfId="7663"/>
    <cellStyle name="Heading 2 2" xfId="7664"/>
    <cellStyle name="Heading 2 2 2" xfId="7665"/>
    <cellStyle name="Heading 2 20" xfId="7666"/>
    <cellStyle name="Heading 2 21" xfId="7667"/>
    <cellStyle name="Heading 2 22" xfId="7668"/>
    <cellStyle name="Heading 2 23" xfId="7669"/>
    <cellStyle name="Heading 2 24" xfId="7670"/>
    <cellStyle name="Heading 2 25" xfId="7671"/>
    <cellStyle name="Heading 2 26" xfId="7672"/>
    <cellStyle name="Heading 2 27" xfId="7673"/>
    <cellStyle name="Heading 2 28" xfId="7674"/>
    <cellStyle name="Heading 2 29" xfId="7675"/>
    <cellStyle name="Heading 2 3" xfId="7676"/>
    <cellStyle name="Heading 2 30" xfId="7677"/>
    <cellStyle name="Heading 2 31" xfId="7678"/>
    <cellStyle name="Heading 2 32" xfId="7679"/>
    <cellStyle name="Heading 2 33" xfId="7680"/>
    <cellStyle name="Heading 2 34" xfId="7681"/>
    <cellStyle name="Heading 2 35" xfId="7682"/>
    <cellStyle name="Heading 2 36" xfId="7683"/>
    <cellStyle name="Heading 2 37" xfId="7684"/>
    <cellStyle name="Heading 2 38" xfId="7685"/>
    <cellStyle name="Heading 2 39" xfId="7686"/>
    <cellStyle name="Heading 2 4" xfId="7687"/>
    <cellStyle name="Heading 2 40" xfId="7688"/>
    <cellStyle name="Heading 2 41" xfId="7689"/>
    <cellStyle name="Heading 2 42" xfId="7690"/>
    <cellStyle name="Heading 2 43" xfId="7691"/>
    <cellStyle name="Heading 2 44" xfId="7692"/>
    <cellStyle name="Heading 2 45" xfId="7693"/>
    <cellStyle name="Heading 2 46" xfId="7694"/>
    <cellStyle name="Heading 2 47" xfId="7695"/>
    <cellStyle name="Heading 2 48" xfId="7696"/>
    <cellStyle name="Heading 2 49" xfId="7697"/>
    <cellStyle name="Heading 2 5" xfId="7698"/>
    <cellStyle name="Heading 2 50" xfId="7699"/>
    <cellStyle name="Heading 2 51" xfId="7700"/>
    <cellStyle name="Heading 2 52" xfId="7701"/>
    <cellStyle name="Heading 2 53" xfId="7702"/>
    <cellStyle name="Heading 2 54" xfId="7703"/>
    <cellStyle name="Heading 2 55" xfId="7704"/>
    <cellStyle name="Heading 2 56" xfId="7705"/>
    <cellStyle name="Heading 2 57" xfId="7706"/>
    <cellStyle name="Heading 2 58" xfId="7707"/>
    <cellStyle name="Heading 2 59" xfId="7708"/>
    <cellStyle name="Heading 2 6" xfId="7709"/>
    <cellStyle name="Heading 2 60" xfId="7710"/>
    <cellStyle name="Heading 2 61" xfId="7711"/>
    <cellStyle name="Heading 2 62" xfId="7712"/>
    <cellStyle name="Heading 2 63" xfId="7713"/>
    <cellStyle name="Heading 2 64" xfId="7714"/>
    <cellStyle name="Heading 2 65" xfId="7715"/>
    <cellStyle name="Heading 2 66" xfId="7716"/>
    <cellStyle name="Heading 2 67" xfId="7717"/>
    <cellStyle name="Heading 2 68" xfId="7718"/>
    <cellStyle name="Heading 2 69" xfId="7719"/>
    <cellStyle name="Heading 2 7" xfId="7720"/>
    <cellStyle name="Heading 2 70" xfId="7721"/>
    <cellStyle name="Heading 2 71" xfId="7722"/>
    <cellStyle name="Heading 2 72" xfId="7723"/>
    <cellStyle name="Heading 2 73" xfId="7724"/>
    <cellStyle name="Heading 2 74" xfId="7725"/>
    <cellStyle name="Heading 2 75" xfId="7726"/>
    <cellStyle name="Heading 2 76" xfId="7727"/>
    <cellStyle name="Heading 2 77" xfId="7728"/>
    <cellStyle name="Heading 2 78" xfId="7729"/>
    <cellStyle name="Heading 2 79" xfId="7730"/>
    <cellStyle name="Heading 2 8" xfId="7731"/>
    <cellStyle name="Heading 2 80" xfId="7732"/>
    <cellStyle name="Heading 2 81" xfId="7733"/>
    <cellStyle name="Heading 2 82" xfId="7734"/>
    <cellStyle name="Heading 2 83" xfId="7735"/>
    <cellStyle name="Heading 2 84" xfId="7736"/>
    <cellStyle name="Heading 2 85" xfId="7737"/>
    <cellStyle name="Heading 2 86" xfId="7738"/>
    <cellStyle name="Heading 2 87" xfId="7739"/>
    <cellStyle name="Heading 2 88" xfId="7740"/>
    <cellStyle name="Heading 2 89" xfId="7741"/>
    <cellStyle name="Heading 2 9" xfId="7742"/>
    <cellStyle name="Heading 2 90" xfId="7743"/>
    <cellStyle name="Heading 2 91" xfId="7744"/>
    <cellStyle name="Heading 2 92" xfId="7745"/>
    <cellStyle name="Heading 2 93" xfId="7746"/>
    <cellStyle name="Heading 2 94" xfId="7747"/>
    <cellStyle name="Heading 2 95" xfId="7748"/>
    <cellStyle name="Heading 2 96" xfId="7749"/>
    <cellStyle name="Heading 2 97" xfId="7750"/>
    <cellStyle name="Heading 2 98" xfId="7751"/>
    <cellStyle name="Heading 2 99" xfId="7752"/>
    <cellStyle name="Heading 3 10" xfId="7753"/>
    <cellStyle name="Heading 3 100" xfId="7754"/>
    <cellStyle name="Heading 3 101" xfId="7755"/>
    <cellStyle name="Heading 3 102" xfId="7756"/>
    <cellStyle name="Heading 3 103" xfId="7757"/>
    <cellStyle name="Heading 3 104" xfId="7758"/>
    <cellStyle name="Heading 3 105" xfId="7759"/>
    <cellStyle name="Heading 3 106" xfId="7760"/>
    <cellStyle name="Heading 3 107" xfId="7761"/>
    <cellStyle name="Heading 3 108" xfId="7762"/>
    <cellStyle name="Heading 3 109" xfId="7763"/>
    <cellStyle name="Heading 3 11" xfId="7764"/>
    <cellStyle name="Heading 3 110" xfId="7765"/>
    <cellStyle name="Heading 3 111" xfId="7766"/>
    <cellStyle name="Heading 3 112" xfId="7767"/>
    <cellStyle name="Heading 3 113" xfId="7768"/>
    <cellStyle name="Heading 3 114" xfId="7769"/>
    <cellStyle name="Heading 3 115" xfId="7770"/>
    <cellStyle name="Heading 3 116" xfId="7771"/>
    <cellStyle name="Heading 3 117" xfId="7772"/>
    <cellStyle name="Heading 3 118" xfId="7773"/>
    <cellStyle name="Heading 3 12" xfId="7774"/>
    <cellStyle name="Heading 3 13" xfId="7775"/>
    <cellStyle name="Heading 3 14" xfId="7776"/>
    <cellStyle name="Heading 3 15" xfId="7777"/>
    <cellStyle name="Heading 3 16" xfId="7778"/>
    <cellStyle name="Heading 3 17" xfId="7779"/>
    <cellStyle name="Heading 3 18" xfId="7780"/>
    <cellStyle name="Heading 3 19" xfId="7781"/>
    <cellStyle name="Heading 3 2" xfId="7782"/>
    <cellStyle name="Heading 3 2 2" xfId="7783"/>
    <cellStyle name="Heading 3 20" xfId="7784"/>
    <cellStyle name="Heading 3 21" xfId="7785"/>
    <cellStyle name="Heading 3 22" xfId="7786"/>
    <cellStyle name="Heading 3 23" xfId="7787"/>
    <cellStyle name="Heading 3 24" xfId="7788"/>
    <cellStyle name="Heading 3 25" xfId="7789"/>
    <cellStyle name="Heading 3 26" xfId="7790"/>
    <cellStyle name="Heading 3 27" xfId="7791"/>
    <cellStyle name="Heading 3 28" xfId="7792"/>
    <cellStyle name="Heading 3 29" xfId="7793"/>
    <cellStyle name="Heading 3 3" xfId="7794"/>
    <cellStyle name="Heading 3 30" xfId="7795"/>
    <cellStyle name="Heading 3 31" xfId="7796"/>
    <cellStyle name="Heading 3 32" xfId="7797"/>
    <cellStyle name="Heading 3 33" xfId="7798"/>
    <cellStyle name="Heading 3 34" xfId="7799"/>
    <cellStyle name="Heading 3 35" xfId="7800"/>
    <cellStyle name="Heading 3 36" xfId="7801"/>
    <cellStyle name="Heading 3 37" xfId="7802"/>
    <cellStyle name="Heading 3 38" xfId="7803"/>
    <cellStyle name="Heading 3 39" xfId="7804"/>
    <cellStyle name="Heading 3 4" xfId="7805"/>
    <cellStyle name="Heading 3 40" xfId="7806"/>
    <cellStyle name="Heading 3 41" xfId="7807"/>
    <cellStyle name="Heading 3 42" xfId="7808"/>
    <cellStyle name="Heading 3 43" xfId="7809"/>
    <cellStyle name="Heading 3 44" xfId="7810"/>
    <cellStyle name="Heading 3 45" xfId="7811"/>
    <cellStyle name="Heading 3 46" xfId="7812"/>
    <cellStyle name="Heading 3 47" xfId="7813"/>
    <cellStyle name="Heading 3 48" xfId="7814"/>
    <cellStyle name="Heading 3 49" xfId="7815"/>
    <cellStyle name="Heading 3 5" xfId="7816"/>
    <cellStyle name="Heading 3 50" xfId="7817"/>
    <cellStyle name="Heading 3 51" xfId="7818"/>
    <cellStyle name="Heading 3 52" xfId="7819"/>
    <cellStyle name="Heading 3 53" xfId="7820"/>
    <cellStyle name="Heading 3 54" xfId="7821"/>
    <cellStyle name="Heading 3 55" xfId="7822"/>
    <cellStyle name="Heading 3 56" xfId="7823"/>
    <cellStyle name="Heading 3 57" xfId="7824"/>
    <cellStyle name="Heading 3 58" xfId="7825"/>
    <cellStyle name="Heading 3 59" xfId="7826"/>
    <cellStyle name="Heading 3 6" xfId="7827"/>
    <cellStyle name="Heading 3 60" xfId="7828"/>
    <cellStyle name="Heading 3 61" xfId="7829"/>
    <cellStyle name="Heading 3 62" xfId="7830"/>
    <cellStyle name="Heading 3 63" xfId="7831"/>
    <cellStyle name="Heading 3 64" xfId="7832"/>
    <cellStyle name="Heading 3 65" xfId="7833"/>
    <cellStyle name="Heading 3 66" xfId="7834"/>
    <cellStyle name="Heading 3 67" xfId="7835"/>
    <cellStyle name="Heading 3 68" xfId="7836"/>
    <cellStyle name="Heading 3 69" xfId="7837"/>
    <cellStyle name="Heading 3 7" xfId="7838"/>
    <cellStyle name="Heading 3 70" xfId="7839"/>
    <cellStyle name="Heading 3 71" xfId="7840"/>
    <cellStyle name="Heading 3 72" xfId="7841"/>
    <cellStyle name="Heading 3 73" xfId="7842"/>
    <cellStyle name="Heading 3 74" xfId="7843"/>
    <cellStyle name="Heading 3 75" xfId="7844"/>
    <cellStyle name="Heading 3 76" xfId="7845"/>
    <cellStyle name="Heading 3 77" xfId="7846"/>
    <cellStyle name="Heading 3 78" xfId="7847"/>
    <cellStyle name="Heading 3 79" xfId="7848"/>
    <cellStyle name="Heading 3 8" xfId="7849"/>
    <cellStyle name="Heading 3 80" xfId="7850"/>
    <cellStyle name="Heading 3 81" xfId="7851"/>
    <cellStyle name="Heading 3 82" xfId="7852"/>
    <cellStyle name="Heading 3 83" xfId="7853"/>
    <cellStyle name="Heading 3 84" xfId="7854"/>
    <cellStyle name="Heading 3 85" xfId="7855"/>
    <cellStyle name="Heading 3 86" xfId="7856"/>
    <cellStyle name="Heading 3 87" xfId="7857"/>
    <cellStyle name="Heading 3 88" xfId="7858"/>
    <cellStyle name="Heading 3 89" xfId="7859"/>
    <cellStyle name="Heading 3 9" xfId="7860"/>
    <cellStyle name="Heading 3 90" xfId="7861"/>
    <cellStyle name="Heading 3 91" xfId="7862"/>
    <cellStyle name="Heading 3 92" xfId="7863"/>
    <cellStyle name="Heading 3 93" xfId="7864"/>
    <cellStyle name="Heading 3 94" xfId="7865"/>
    <cellStyle name="Heading 3 95" xfId="7866"/>
    <cellStyle name="Heading 3 96" xfId="7867"/>
    <cellStyle name="Heading 3 97" xfId="7868"/>
    <cellStyle name="Heading 3 98" xfId="7869"/>
    <cellStyle name="Heading 3 99" xfId="7870"/>
    <cellStyle name="Heading 4 10" xfId="7871"/>
    <cellStyle name="Heading 4 100" xfId="7872"/>
    <cellStyle name="Heading 4 101" xfId="7873"/>
    <cellStyle name="Heading 4 102" xfId="7874"/>
    <cellStyle name="Heading 4 103" xfId="7875"/>
    <cellStyle name="Heading 4 104" xfId="7876"/>
    <cellStyle name="Heading 4 105" xfId="7877"/>
    <cellStyle name="Heading 4 106" xfId="7878"/>
    <cellStyle name="Heading 4 107" xfId="7879"/>
    <cellStyle name="Heading 4 108" xfId="7880"/>
    <cellStyle name="Heading 4 109" xfId="7881"/>
    <cellStyle name="Heading 4 11" xfId="7882"/>
    <cellStyle name="Heading 4 110" xfId="7883"/>
    <cellStyle name="Heading 4 111" xfId="7884"/>
    <cellStyle name="Heading 4 112" xfId="7885"/>
    <cellStyle name="Heading 4 113" xfId="7886"/>
    <cellStyle name="Heading 4 114" xfId="7887"/>
    <cellStyle name="Heading 4 115" xfId="7888"/>
    <cellStyle name="Heading 4 116" xfId="7889"/>
    <cellStyle name="Heading 4 117" xfId="7890"/>
    <cellStyle name="Heading 4 118" xfId="7891"/>
    <cellStyle name="Heading 4 12" xfId="7892"/>
    <cellStyle name="Heading 4 13" xfId="7893"/>
    <cellStyle name="Heading 4 14" xfId="7894"/>
    <cellStyle name="Heading 4 15" xfId="7895"/>
    <cellStyle name="Heading 4 16" xfId="7896"/>
    <cellStyle name="Heading 4 17" xfId="7897"/>
    <cellStyle name="Heading 4 18" xfId="7898"/>
    <cellStyle name="Heading 4 19" xfId="7899"/>
    <cellStyle name="Heading 4 2" xfId="7900"/>
    <cellStyle name="Heading 4 2 2" xfId="7901"/>
    <cellStyle name="Heading 4 20" xfId="7902"/>
    <cellStyle name="Heading 4 21" xfId="7903"/>
    <cellStyle name="Heading 4 22" xfId="7904"/>
    <cellStyle name="Heading 4 23" xfId="7905"/>
    <cellStyle name="Heading 4 24" xfId="7906"/>
    <cellStyle name="Heading 4 25" xfId="7907"/>
    <cellStyle name="Heading 4 26" xfId="7908"/>
    <cellStyle name="Heading 4 27" xfId="7909"/>
    <cellStyle name="Heading 4 28" xfId="7910"/>
    <cellStyle name="Heading 4 29" xfId="7911"/>
    <cellStyle name="Heading 4 3" xfId="7912"/>
    <cellStyle name="Heading 4 30" xfId="7913"/>
    <cellStyle name="Heading 4 31" xfId="7914"/>
    <cellStyle name="Heading 4 32" xfId="7915"/>
    <cellStyle name="Heading 4 33" xfId="7916"/>
    <cellStyle name="Heading 4 34" xfId="7917"/>
    <cellStyle name="Heading 4 35" xfId="7918"/>
    <cellStyle name="Heading 4 36" xfId="7919"/>
    <cellStyle name="Heading 4 37" xfId="7920"/>
    <cellStyle name="Heading 4 38" xfId="7921"/>
    <cellStyle name="Heading 4 39" xfId="7922"/>
    <cellStyle name="Heading 4 4" xfId="7923"/>
    <cellStyle name="Heading 4 40" xfId="7924"/>
    <cellStyle name="Heading 4 41" xfId="7925"/>
    <cellStyle name="Heading 4 42" xfId="7926"/>
    <cellStyle name="Heading 4 43" xfId="7927"/>
    <cellStyle name="Heading 4 44" xfId="7928"/>
    <cellStyle name="Heading 4 45" xfId="7929"/>
    <cellStyle name="Heading 4 46" xfId="7930"/>
    <cellStyle name="Heading 4 47" xfId="7931"/>
    <cellStyle name="Heading 4 48" xfId="7932"/>
    <cellStyle name="Heading 4 49" xfId="7933"/>
    <cellStyle name="Heading 4 5" xfId="7934"/>
    <cellStyle name="Heading 4 50" xfId="7935"/>
    <cellStyle name="Heading 4 51" xfId="7936"/>
    <cellStyle name="Heading 4 52" xfId="7937"/>
    <cellStyle name="Heading 4 53" xfId="7938"/>
    <cellStyle name="Heading 4 54" xfId="7939"/>
    <cellStyle name="Heading 4 55" xfId="7940"/>
    <cellStyle name="Heading 4 56" xfId="7941"/>
    <cellStyle name="Heading 4 57" xfId="7942"/>
    <cellStyle name="Heading 4 58" xfId="7943"/>
    <cellStyle name="Heading 4 59" xfId="7944"/>
    <cellStyle name="Heading 4 6" xfId="7945"/>
    <cellStyle name="Heading 4 60" xfId="7946"/>
    <cellStyle name="Heading 4 61" xfId="7947"/>
    <cellStyle name="Heading 4 62" xfId="7948"/>
    <cellStyle name="Heading 4 63" xfId="7949"/>
    <cellStyle name="Heading 4 64" xfId="7950"/>
    <cellStyle name="Heading 4 65" xfId="7951"/>
    <cellStyle name="Heading 4 66" xfId="7952"/>
    <cellStyle name="Heading 4 67" xfId="7953"/>
    <cellStyle name="Heading 4 68" xfId="7954"/>
    <cellStyle name="Heading 4 69" xfId="7955"/>
    <cellStyle name="Heading 4 7" xfId="7956"/>
    <cellStyle name="Heading 4 70" xfId="7957"/>
    <cellStyle name="Heading 4 71" xfId="7958"/>
    <cellStyle name="Heading 4 72" xfId="7959"/>
    <cellStyle name="Heading 4 73" xfId="7960"/>
    <cellStyle name="Heading 4 74" xfId="7961"/>
    <cellStyle name="Heading 4 75" xfId="7962"/>
    <cellStyle name="Heading 4 76" xfId="7963"/>
    <cellStyle name="Heading 4 77" xfId="7964"/>
    <cellStyle name="Heading 4 78" xfId="7965"/>
    <cellStyle name="Heading 4 79" xfId="7966"/>
    <cellStyle name="Heading 4 8" xfId="7967"/>
    <cellStyle name="Heading 4 80" xfId="7968"/>
    <cellStyle name="Heading 4 81" xfId="7969"/>
    <cellStyle name="Heading 4 82" xfId="7970"/>
    <cellStyle name="Heading 4 83" xfId="7971"/>
    <cellStyle name="Heading 4 84" xfId="7972"/>
    <cellStyle name="Heading 4 85" xfId="7973"/>
    <cellStyle name="Heading 4 86" xfId="7974"/>
    <cellStyle name="Heading 4 87" xfId="7975"/>
    <cellStyle name="Heading 4 88" xfId="7976"/>
    <cellStyle name="Heading 4 89" xfId="7977"/>
    <cellStyle name="Heading 4 9" xfId="7978"/>
    <cellStyle name="Heading 4 90" xfId="7979"/>
    <cellStyle name="Heading 4 91" xfId="7980"/>
    <cellStyle name="Heading 4 92" xfId="7981"/>
    <cellStyle name="Heading 4 93" xfId="7982"/>
    <cellStyle name="Heading 4 94" xfId="7983"/>
    <cellStyle name="Heading 4 95" xfId="7984"/>
    <cellStyle name="Heading 4 96" xfId="7985"/>
    <cellStyle name="Heading 4 97" xfId="7986"/>
    <cellStyle name="Heading 4 98" xfId="7987"/>
    <cellStyle name="Heading 4 99" xfId="7988"/>
    <cellStyle name="Hyperlink 2" xfId="11127"/>
    <cellStyle name="Input 10" xfId="7989"/>
    <cellStyle name="Input 10 2" xfId="7990"/>
    <cellStyle name="Input 100" xfId="7991"/>
    <cellStyle name="Input 101" xfId="7992"/>
    <cellStyle name="Input 102" xfId="7993"/>
    <cellStyle name="Input 103" xfId="7994"/>
    <cellStyle name="Input 104" xfId="7995"/>
    <cellStyle name="Input 105" xfId="7996"/>
    <cellStyle name="Input 106" xfId="7997"/>
    <cellStyle name="Input 107" xfId="7998"/>
    <cellStyle name="Input 108" xfId="7999"/>
    <cellStyle name="Input 109" xfId="8000"/>
    <cellStyle name="Input 11" xfId="8001"/>
    <cellStyle name="Input 11 2" xfId="8002"/>
    <cellStyle name="Input 110" xfId="8003"/>
    <cellStyle name="Input 111" xfId="8004"/>
    <cellStyle name="Input 112" xfId="8005"/>
    <cellStyle name="Input 113" xfId="8006"/>
    <cellStyle name="Input 114" xfId="8007"/>
    <cellStyle name="Input 115" xfId="8008"/>
    <cellStyle name="Input 116" xfId="8009"/>
    <cellStyle name="Input 117" xfId="8010"/>
    <cellStyle name="Input 118" xfId="8011"/>
    <cellStyle name="Input 12" xfId="8012"/>
    <cellStyle name="Input 12 2" xfId="8013"/>
    <cellStyle name="Input 13" xfId="8014"/>
    <cellStyle name="Input 13 2" xfId="8015"/>
    <cellStyle name="Input 14" xfId="8016"/>
    <cellStyle name="Input 14 2" xfId="8017"/>
    <cellStyle name="Input 15" xfId="8018"/>
    <cellStyle name="Input 15 2" xfId="8019"/>
    <cellStyle name="Input 16" xfId="8020"/>
    <cellStyle name="Input 16 2" xfId="8021"/>
    <cellStyle name="Input 17" xfId="8022"/>
    <cellStyle name="Input 17 2" xfId="8023"/>
    <cellStyle name="Input 18" xfId="8024"/>
    <cellStyle name="Input 18 2" xfId="8025"/>
    <cellStyle name="Input 19" xfId="8026"/>
    <cellStyle name="Input 19 2" xfId="8027"/>
    <cellStyle name="Input 2" xfId="8028"/>
    <cellStyle name="Input 2 2" xfId="8029"/>
    <cellStyle name="Input 2 3" xfId="8030"/>
    <cellStyle name="Input 20" xfId="8031"/>
    <cellStyle name="Input 20 2" xfId="8032"/>
    <cellStyle name="Input 21" xfId="8033"/>
    <cellStyle name="Input 21 2" xfId="8034"/>
    <cellStyle name="Input 22" xfId="8035"/>
    <cellStyle name="Input 22 2" xfId="8036"/>
    <cellStyle name="Input 23" xfId="8037"/>
    <cellStyle name="Input 23 2" xfId="8038"/>
    <cellStyle name="Input 24" xfId="8039"/>
    <cellStyle name="Input 24 2" xfId="8040"/>
    <cellStyle name="Input 25" xfId="8041"/>
    <cellStyle name="Input 25 2" xfId="8042"/>
    <cellStyle name="Input 26" xfId="8043"/>
    <cellStyle name="Input 26 2" xfId="8044"/>
    <cellStyle name="Input 27" xfId="8045"/>
    <cellStyle name="Input 27 2" xfId="8046"/>
    <cellStyle name="Input 28" xfId="8047"/>
    <cellStyle name="Input 28 2" xfId="8048"/>
    <cellStyle name="Input 29" xfId="8049"/>
    <cellStyle name="Input 29 2" xfId="8050"/>
    <cellStyle name="Input 3" xfId="8051"/>
    <cellStyle name="Input 3 2" xfId="8052"/>
    <cellStyle name="Input 30" xfId="8053"/>
    <cellStyle name="Input 30 2" xfId="8054"/>
    <cellStyle name="Input 31" xfId="8055"/>
    <cellStyle name="Input 31 2" xfId="8056"/>
    <cellStyle name="Input 32" xfId="8057"/>
    <cellStyle name="Input 32 2" xfId="8058"/>
    <cellStyle name="Input 33" xfId="8059"/>
    <cellStyle name="Input 33 2" xfId="8060"/>
    <cellStyle name="Input 34" xfId="8061"/>
    <cellStyle name="Input 34 2" xfId="8062"/>
    <cellStyle name="Input 35" xfId="8063"/>
    <cellStyle name="Input 35 2" xfId="8064"/>
    <cellStyle name="Input 36" xfId="8065"/>
    <cellStyle name="Input 36 2" xfId="8066"/>
    <cellStyle name="Input 37" xfId="8067"/>
    <cellStyle name="Input 37 2" xfId="8068"/>
    <cellStyle name="Input 38" xfId="8069"/>
    <cellStyle name="Input 38 2" xfId="8070"/>
    <cellStyle name="Input 39" xfId="8071"/>
    <cellStyle name="Input 39 2" xfId="8072"/>
    <cellStyle name="Input 4" xfId="8073"/>
    <cellStyle name="Input 4 2" xfId="8074"/>
    <cellStyle name="Input 40" xfId="8075"/>
    <cellStyle name="Input 40 2" xfId="8076"/>
    <cellStyle name="Input 41" xfId="8077"/>
    <cellStyle name="Input 41 2" xfId="8078"/>
    <cellStyle name="Input 42" xfId="8079"/>
    <cellStyle name="Input 42 2" xfId="8080"/>
    <cellStyle name="Input 43" xfId="8081"/>
    <cellStyle name="Input 43 2" xfId="8082"/>
    <cellStyle name="Input 44" xfId="8083"/>
    <cellStyle name="Input 44 2" xfId="8084"/>
    <cellStyle name="Input 45" xfId="8085"/>
    <cellStyle name="Input 45 2" xfId="8086"/>
    <cellStyle name="Input 46" xfId="8087"/>
    <cellStyle name="Input 46 2" xfId="8088"/>
    <cellStyle name="Input 47" xfId="8089"/>
    <cellStyle name="Input 47 2" xfId="8090"/>
    <cellStyle name="Input 48" xfId="8091"/>
    <cellStyle name="Input 48 2" xfId="8092"/>
    <cellStyle name="Input 49" xfId="8093"/>
    <cellStyle name="Input 49 2" xfId="8094"/>
    <cellStyle name="Input 5" xfId="8095"/>
    <cellStyle name="Input 5 2" xfId="8096"/>
    <cellStyle name="Input 50" xfId="8097"/>
    <cellStyle name="Input 50 2" xfId="8098"/>
    <cellStyle name="Input 51" xfId="8099"/>
    <cellStyle name="Input 51 2" xfId="8100"/>
    <cellStyle name="Input 52" xfId="8101"/>
    <cellStyle name="Input 52 2" xfId="8102"/>
    <cellStyle name="Input 53" xfId="8103"/>
    <cellStyle name="Input 53 2" xfId="8104"/>
    <cellStyle name="Input 54" xfId="8105"/>
    <cellStyle name="Input 54 2" xfId="8106"/>
    <cellStyle name="Input 55" xfId="8107"/>
    <cellStyle name="Input 55 2" xfId="8108"/>
    <cellStyle name="Input 56" xfId="8109"/>
    <cellStyle name="Input 56 2" xfId="8110"/>
    <cellStyle name="Input 57" xfId="8111"/>
    <cellStyle name="Input 57 2" xfId="8112"/>
    <cellStyle name="Input 58" xfId="8113"/>
    <cellStyle name="Input 58 2" xfId="8114"/>
    <cellStyle name="Input 59" xfId="8115"/>
    <cellStyle name="Input 59 2" xfId="8116"/>
    <cellStyle name="Input 6" xfId="8117"/>
    <cellStyle name="Input 6 2" xfId="8118"/>
    <cellStyle name="Input 60" xfId="8119"/>
    <cellStyle name="Input 60 2" xfId="8120"/>
    <cellStyle name="Input 61" xfId="8121"/>
    <cellStyle name="Input 61 2" xfId="8122"/>
    <cellStyle name="Input 62" xfId="8123"/>
    <cellStyle name="Input 62 2" xfId="8124"/>
    <cellStyle name="Input 63" xfId="8125"/>
    <cellStyle name="Input 63 2" xfId="8126"/>
    <cellStyle name="Input 64" xfId="8127"/>
    <cellStyle name="Input 64 2" xfId="8128"/>
    <cellStyle name="Input 65" xfId="8129"/>
    <cellStyle name="Input 65 2" xfId="8130"/>
    <cellStyle name="Input 66" xfId="8131"/>
    <cellStyle name="Input 66 2" xfId="8132"/>
    <cellStyle name="Input 67" xfId="8133"/>
    <cellStyle name="Input 67 2" xfId="8134"/>
    <cellStyle name="Input 68" xfId="8135"/>
    <cellStyle name="Input 68 2" xfId="8136"/>
    <cellStyle name="Input 69" xfId="8137"/>
    <cellStyle name="Input 69 2" xfId="8138"/>
    <cellStyle name="Input 7" xfId="8139"/>
    <cellStyle name="Input 7 2" xfId="8140"/>
    <cellStyle name="Input 70" xfId="8141"/>
    <cellStyle name="Input 70 2" xfId="8142"/>
    <cellStyle name="Input 71" xfId="8143"/>
    <cellStyle name="Input 71 2" xfId="8144"/>
    <cellStyle name="Input 72" xfId="8145"/>
    <cellStyle name="Input 73" xfId="8146"/>
    <cellStyle name="Input 74" xfId="8147"/>
    <cellStyle name="Input 75" xfId="8148"/>
    <cellStyle name="Input 76" xfId="8149"/>
    <cellStyle name="Input 77" xfId="8150"/>
    <cellStyle name="Input 78" xfId="8151"/>
    <cellStyle name="Input 79" xfId="8152"/>
    <cellStyle name="Input 8" xfId="8153"/>
    <cellStyle name="Input 8 2" xfId="8154"/>
    <cellStyle name="Input 80" xfId="8155"/>
    <cellStyle name="Input 81" xfId="8156"/>
    <cellStyle name="Input 82" xfId="8157"/>
    <cellStyle name="Input 83" xfId="8158"/>
    <cellStyle name="Input 84" xfId="8159"/>
    <cellStyle name="Input 85" xfId="8160"/>
    <cellStyle name="Input 86" xfId="8161"/>
    <cellStyle name="Input 87" xfId="8162"/>
    <cellStyle name="Input 88" xfId="8163"/>
    <cellStyle name="Input 89" xfId="8164"/>
    <cellStyle name="Input 9" xfId="8165"/>
    <cellStyle name="Input 9 2" xfId="8166"/>
    <cellStyle name="Input 90" xfId="8167"/>
    <cellStyle name="Input 91" xfId="8168"/>
    <cellStyle name="Input 92" xfId="8169"/>
    <cellStyle name="Input 93" xfId="8170"/>
    <cellStyle name="Input 94" xfId="8171"/>
    <cellStyle name="Input 95" xfId="8172"/>
    <cellStyle name="Input 96" xfId="8173"/>
    <cellStyle name="Input 97" xfId="8174"/>
    <cellStyle name="Input 98" xfId="8175"/>
    <cellStyle name="Input 99" xfId="8176"/>
    <cellStyle name="LineItemPrompt" xfId="8177"/>
    <cellStyle name="LineItemValue" xfId="8178"/>
    <cellStyle name="Linked Cell 10" xfId="8179"/>
    <cellStyle name="Linked Cell 100" xfId="8180"/>
    <cellStyle name="Linked Cell 101" xfId="8181"/>
    <cellStyle name="Linked Cell 102" xfId="8182"/>
    <cellStyle name="Linked Cell 103" xfId="8183"/>
    <cellStyle name="Linked Cell 104" xfId="8184"/>
    <cellStyle name="Linked Cell 105" xfId="8185"/>
    <cellStyle name="Linked Cell 106" xfId="8186"/>
    <cellStyle name="Linked Cell 107" xfId="8187"/>
    <cellStyle name="Linked Cell 108" xfId="8188"/>
    <cellStyle name="Linked Cell 109" xfId="8189"/>
    <cellStyle name="Linked Cell 11" xfId="8190"/>
    <cellStyle name="Linked Cell 110" xfId="8191"/>
    <cellStyle name="Linked Cell 111" xfId="8192"/>
    <cellStyle name="Linked Cell 112" xfId="8193"/>
    <cellStyle name="Linked Cell 113" xfId="8194"/>
    <cellStyle name="Linked Cell 114" xfId="8195"/>
    <cellStyle name="Linked Cell 115" xfId="8196"/>
    <cellStyle name="Linked Cell 116" xfId="8197"/>
    <cellStyle name="Linked Cell 117" xfId="8198"/>
    <cellStyle name="Linked Cell 118" xfId="8199"/>
    <cellStyle name="Linked Cell 12" xfId="8200"/>
    <cellStyle name="Linked Cell 13" xfId="8201"/>
    <cellStyle name="Linked Cell 14" xfId="8202"/>
    <cellStyle name="Linked Cell 15" xfId="8203"/>
    <cellStyle name="Linked Cell 16" xfId="8204"/>
    <cellStyle name="Linked Cell 17" xfId="8205"/>
    <cellStyle name="Linked Cell 18" xfId="8206"/>
    <cellStyle name="Linked Cell 19" xfId="8207"/>
    <cellStyle name="Linked Cell 2" xfId="8208"/>
    <cellStyle name="Linked Cell 2 2" xfId="8209"/>
    <cellStyle name="Linked Cell 20" xfId="8210"/>
    <cellStyle name="Linked Cell 21" xfId="8211"/>
    <cellStyle name="Linked Cell 22" xfId="8212"/>
    <cellStyle name="Linked Cell 23" xfId="8213"/>
    <cellStyle name="Linked Cell 24" xfId="8214"/>
    <cellStyle name="Linked Cell 25" xfId="8215"/>
    <cellStyle name="Linked Cell 26" xfId="8216"/>
    <cellStyle name="Linked Cell 27" xfId="8217"/>
    <cellStyle name="Linked Cell 28" xfId="8218"/>
    <cellStyle name="Linked Cell 29" xfId="8219"/>
    <cellStyle name="Linked Cell 3" xfId="8220"/>
    <cellStyle name="Linked Cell 30" xfId="8221"/>
    <cellStyle name="Linked Cell 31" xfId="8222"/>
    <cellStyle name="Linked Cell 32" xfId="8223"/>
    <cellStyle name="Linked Cell 33" xfId="8224"/>
    <cellStyle name="Linked Cell 34" xfId="8225"/>
    <cellStyle name="Linked Cell 35" xfId="8226"/>
    <cellStyle name="Linked Cell 36" xfId="8227"/>
    <cellStyle name="Linked Cell 37" xfId="8228"/>
    <cellStyle name="Linked Cell 38" xfId="8229"/>
    <cellStyle name="Linked Cell 39" xfId="8230"/>
    <cellStyle name="Linked Cell 4" xfId="8231"/>
    <cellStyle name="Linked Cell 40" xfId="8232"/>
    <cellStyle name="Linked Cell 41" xfId="8233"/>
    <cellStyle name="Linked Cell 42" xfId="8234"/>
    <cellStyle name="Linked Cell 43" xfId="8235"/>
    <cellStyle name="Linked Cell 44" xfId="8236"/>
    <cellStyle name="Linked Cell 45" xfId="8237"/>
    <cellStyle name="Linked Cell 46" xfId="8238"/>
    <cellStyle name="Linked Cell 47" xfId="8239"/>
    <cellStyle name="Linked Cell 48" xfId="8240"/>
    <cellStyle name="Linked Cell 49" xfId="8241"/>
    <cellStyle name="Linked Cell 5" xfId="8242"/>
    <cellStyle name="Linked Cell 50" xfId="8243"/>
    <cellStyle name="Linked Cell 51" xfId="8244"/>
    <cellStyle name="Linked Cell 52" xfId="8245"/>
    <cellStyle name="Linked Cell 53" xfId="8246"/>
    <cellStyle name="Linked Cell 54" xfId="8247"/>
    <cellStyle name="Linked Cell 55" xfId="8248"/>
    <cellStyle name="Linked Cell 56" xfId="8249"/>
    <cellStyle name="Linked Cell 57" xfId="8250"/>
    <cellStyle name="Linked Cell 58" xfId="8251"/>
    <cellStyle name="Linked Cell 59" xfId="8252"/>
    <cellStyle name="Linked Cell 6" xfId="8253"/>
    <cellStyle name="Linked Cell 60" xfId="8254"/>
    <cellStyle name="Linked Cell 61" xfId="8255"/>
    <cellStyle name="Linked Cell 62" xfId="8256"/>
    <cellStyle name="Linked Cell 63" xfId="8257"/>
    <cellStyle name="Linked Cell 64" xfId="8258"/>
    <cellStyle name="Linked Cell 65" xfId="8259"/>
    <cellStyle name="Linked Cell 66" xfId="8260"/>
    <cellStyle name="Linked Cell 67" xfId="8261"/>
    <cellStyle name="Linked Cell 68" xfId="8262"/>
    <cellStyle name="Linked Cell 69" xfId="8263"/>
    <cellStyle name="Linked Cell 7" xfId="8264"/>
    <cellStyle name="Linked Cell 70" xfId="8265"/>
    <cellStyle name="Linked Cell 71" xfId="8266"/>
    <cellStyle name="Linked Cell 72" xfId="8267"/>
    <cellStyle name="Linked Cell 73" xfId="8268"/>
    <cellStyle name="Linked Cell 74" xfId="8269"/>
    <cellStyle name="Linked Cell 75" xfId="8270"/>
    <cellStyle name="Linked Cell 76" xfId="8271"/>
    <cellStyle name="Linked Cell 77" xfId="8272"/>
    <cellStyle name="Linked Cell 78" xfId="8273"/>
    <cellStyle name="Linked Cell 79" xfId="8274"/>
    <cellStyle name="Linked Cell 8" xfId="8275"/>
    <cellStyle name="Linked Cell 80" xfId="8276"/>
    <cellStyle name="Linked Cell 81" xfId="8277"/>
    <cellStyle name="Linked Cell 82" xfId="8278"/>
    <cellStyle name="Linked Cell 83" xfId="8279"/>
    <cellStyle name="Linked Cell 84" xfId="8280"/>
    <cellStyle name="Linked Cell 85" xfId="8281"/>
    <cellStyle name="Linked Cell 86" xfId="8282"/>
    <cellStyle name="Linked Cell 87" xfId="8283"/>
    <cellStyle name="Linked Cell 88" xfId="8284"/>
    <cellStyle name="Linked Cell 89" xfId="8285"/>
    <cellStyle name="Linked Cell 9" xfId="8286"/>
    <cellStyle name="Linked Cell 90" xfId="8287"/>
    <cellStyle name="Linked Cell 91" xfId="8288"/>
    <cellStyle name="Linked Cell 92" xfId="8289"/>
    <cellStyle name="Linked Cell 93" xfId="8290"/>
    <cellStyle name="Linked Cell 94" xfId="8291"/>
    <cellStyle name="Linked Cell 95" xfId="8292"/>
    <cellStyle name="Linked Cell 96" xfId="8293"/>
    <cellStyle name="Linked Cell 97" xfId="8294"/>
    <cellStyle name="Linked Cell 98" xfId="8295"/>
    <cellStyle name="Linked Cell 99" xfId="8296"/>
    <cellStyle name="Neutral 10" xfId="8297"/>
    <cellStyle name="Neutral 10 2" xfId="8298"/>
    <cellStyle name="Neutral 100" xfId="8299"/>
    <cellStyle name="Neutral 101" xfId="8300"/>
    <cellStyle name="Neutral 102" xfId="8301"/>
    <cellStyle name="Neutral 103" xfId="8302"/>
    <cellStyle name="Neutral 104" xfId="8303"/>
    <cellStyle name="Neutral 105" xfId="8304"/>
    <cellStyle name="Neutral 106" xfId="8305"/>
    <cellStyle name="Neutral 107" xfId="8306"/>
    <cellStyle name="Neutral 108" xfId="8307"/>
    <cellStyle name="Neutral 109" xfId="8308"/>
    <cellStyle name="Neutral 11" xfId="8309"/>
    <cellStyle name="Neutral 11 2" xfId="8310"/>
    <cellStyle name="Neutral 110" xfId="8311"/>
    <cellStyle name="Neutral 111" xfId="8312"/>
    <cellStyle name="Neutral 112" xfId="8313"/>
    <cellStyle name="Neutral 113" xfId="8314"/>
    <cellStyle name="Neutral 114" xfId="8315"/>
    <cellStyle name="Neutral 115" xfId="8316"/>
    <cellStyle name="Neutral 116" xfId="8317"/>
    <cellStyle name="Neutral 117" xfId="8318"/>
    <cellStyle name="Neutral 118" xfId="8319"/>
    <cellStyle name="Neutral 12" xfId="8320"/>
    <cellStyle name="Neutral 12 2" xfId="8321"/>
    <cellStyle name="Neutral 13" xfId="8322"/>
    <cellStyle name="Neutral 13 2" xfId="8323"/>
    <cellStyle name="Neutral 14" xfId="8324"/>
    <cellStyle name="Neutral 14 2" xfId="8325"/>
    <cellStyle name="Neutral 15" xfId="8326"/>
    <cellStyle name="Neutral 15 2" xfId="8327"/>
    <cellStyle name="Neutral 16" xfId="8328"/>
    <cellStyle name="Neutral 16 2" xfId="8329"/>
    <cellStyle name="Neutral 17" xfId="8330"/>
    <cellStyle name="Neutral 17 2" xfId="8331"/>
    <cellStyle name="Neutral 18" xfId="8332"/>
    <cellStyle name="Neutral 18 2" xfId="8333"/>
    <cellStyle name="Neutral 19" xfId="8334"/>
    <cellStyle name="Neutral 19 2" xfId="8335"/>
    <cellStyle name="Neutral 2" xfId="8336"/>
    <cellStyle name="Neutral 2 2" xfId="8337"/>
    <cellStyle name="Neutral 2 3" xfId="8338"/>
    <cellStyle name="Neutral 20" xfId="8339"/>
    <cellStyle name="Neutral 20 2" xfId="8340"/>
    <cellStyle name="Neutral 21" xfId="8341"/>
    <cellStyle name="Neutral 21 2" xfId="8342"/>
    <cellStyle name="Neutral 22" xfId="8343"/>
    <cellStyle name="Neutral 22 2" xfId="8344"/>
    <cellStyle name="Neutral 23" xfId="8345"/>
    <cellStyle name="Neutral 23 2" xfId="8346"/>
    <cellStyle name="Neutral 24" xfId="8347"/>
    <cellStyle name="Neutral 24 2" xfId="8348"/>
    <cellStyle name="Neutral 25" xfId="8349"/>
    <cellStyle name="Neutral 25 2" xfId="8350"/>
    <cellStyle name="Neutral 26" xfId="8351"/>
    <cellStyle name="Neutral 26 2" xfId="8352"/>
    <cellStyle name="Neutral 27" xfId="8353"/>
    <cellStyle name="Neutral 27 2" xfId="8354"/>
    <cellStyle name="Neutral 28" xfId="8355"/>
    <cellStyle name="Neutral 28 2" xfId="8356"/>
    <cellStyle name="Neutral 29" xfId="8357"/>
    <cellStyle name="Neutral 29 2" xfId="8358"/>
    <cellStyle name="Neutral 3" xfId="8359"/>
    <cellStyle name="Neutral 3 2" xfId="8360"/>
    <cellStyle name="Neutral 30" xfId="8361"/>
    <cellStyle name="Neutral 30 2" xfId="8362"/>
    <cellStyle name="Neutral 31" xfId="8363"/>
    <cellStyle name="Neutral 31 2" xfId="8364"/>
    <cellStyle name="Neutral 32" xfId="8365"/>
    <cellStyle name="Neutral 32 2" xfId="8366"/>
    <cellStyle name="Neutral 33" xfId="8367"/>
    <cellStyle name="Neutral 33 2" xfId="8368"/>
    <cellStyle name="Neutral 34" xfId="8369"/>
    <cellStyle name="Neutral 34 2" xfId="8370"/>
    <cellStyle name="Neutral 35" xfId="8371"/>
    <cellStyle name="Neutral 35 2" xfId="8372"/>
    <cellStyle name="Neutral 36" xfId="8373"/>
    <cellStyle name="Neutral 36 2" xfId="8374"/>
    <cellStyle name="Neutral 37" xfId="8375"/>
    <cellStyle name="Neutral 37 2" xfId="8376"/>
    <cellStyle name="Neutral 38" xfId="8377"/>
    <cellStyle name="Neutral 38 2" xfId="8378"/>
    <cellStyle name="Neutral 39" xfId="8379"/>
    <cellStyle name="Neutral 39 2" xfId="8380"/>
    <cellStyle name="Neutral 4" xfId="8381"/>
    <cellStyle name="Neutral 4 2" xfId="8382"/>
    <cellStyle name="Neutral 40" xfId="8383"/>
    <cellStyle name="Neutral 40 2" xfId="8384"/>
    <cellStyle name="Neutral 41" xfId="8385"/>
    <cellStyle name="Neutral 41 2" xfId="8386"/>
    <cellStyle name="Neutral 42" xfId="8387"/>
    <cellStyle name="Neutral 42 2" xfId="8388"/>
    <cellStyle name="Neutral 43" xfId="8389"/>
    <cellStyle name="Neutral 43 2" xfId="8390"/>
    <cellStyle name="Neutral 44" xfId="8391"/>
    <cellStyle name="Neutral 44 2" xfId="8392"/>
    <cellStyle name="Neutral 45" xfId="8393"/>
    <cellStyle name="Neutral 45 2" xfId="8394"/>
    <cellStyle name="Neutral 46" xfId="8395"/>
    <cellStyle name="Neutral 46 2" xfId="8396"/>
    <cellStyle name="Neutral 47" xfId="8397"/>
    <cellStyle name="Neutral 47 2" xfId="8398"/>
    <cellStyle name="Neutral 48" xfId="8399"/>
    <cellStyle name="Neutral 48 2" xfId="8400"/>
    <cellStyle name="Neutral 49" xfId="8401"/>
    <cellStyle name="Neutral 49 2" xfId="8402"/>
    <cellStyle name="Neutral 5" xfId="8403"/>
    <cellStyle name="Neutral 5 2" xfId="8404"/>
    <cellStyle name="Neutral 50" xfId="8405"/>
    <cellStyle name="Neutral 50 2" xfId="8406"/>
    <cellStyle name="Neutral 51" xfId="8407"/>
    <cellStyle name="Neutral 51 2" xfId="8408"/>
    <cellStyle name="Neutral 52" xfId="8409"/>
    <cellStyle name="Neutral 52 2" xfId="8410"/>
    <cellStyle name="Neutral 53" xfId="8411"/>
    <cellStyle name="Neutral 53 2" xfId="8412"/>
    <cellStyle name="Neutral 54" xfId="8413"/>
    <cellStyle name="Neutral 54 2" xfId="8414"/>
    <cellStyle name="Neutral 55" xfId="8415"/>
    <cellStyle name="Neutral 55 2" xfId="8416"/>
    <cellStyle name="Neutral 56" xfId="8417"/>
    <cellStyle name="Neutral 56 2" xfId="8418"/>
    <cellStyle name="Neutral 57" xfId="8419"/>
    <cellStyle name="Neutral 57 2" xfId="8420"/>
    <cellStyle name="Neutral 58" xfId="8421"/>
    <cellStyle name="Neutral 58 2" xfId="8422"/>
    <cellStyle name="Neutral 59" xfId="8423"/>
    <cellStyle name="Neutral 59 2" xfId="8424"/>
    <cellStyle name="Neutral 6" xfId="8425"/>
    <cellStyle name="Neutral 6 2" xfId="8426"/>
    <cellStyle name="Neutral 60" xfId="8427"/>
    <cellStyle name="Neutral 60 2" xfId="8428"/>
    <cellStyle name="Neutral 61" xfId="8429"/>
    <cellStyle name="Neutral 61 2" xfId="8430"/>
    <cellStyle name="Neutral 62" xfId="8431"/>
    <cellStyle name="Neutral 62 2" xfId="8432"/>
    <cellStyle name="Neutral 63" xfId="8433"/>
    <cellStyle name="Neutral 63 2" xfId="8434"/>
    <cellStyle name="Neutral 64" xfId="8435"/>
    <cellStyle name="Neutral 64 2" xfId="8436"/>
    <cellStyle name="Neutral 65" xfId="8437"/>
    <cellStyle name="Neutral 65 2" xfId="8438"/>
    <cellStyle name="Neutral 66" xfId="8439"/>
    <cellStyle name="Neutral 66 2" xfId="8440"/>
    <cellStyle name="Neutral 67" xfId="8441"/>
    <cellStyle name="Neutral 67 2" xfId="8442"/>
    <cellStyle name="Neutral 68" xfId="8443"/>
    <cellStyle name="Neutral 68 2" xfId="8444"/>
    <cellStyle name="Neutral 69" xfId="8445"/>
    <cellStyle name="Neutral 69 2" xfId="8446"/>
    <cellStyle name="Neutral 7" xfId="8447"/>
    <cellStyle name="Neutral 7 2" xfId="8448"/>
    <cellStyle name="Neutral 70" xfId="8449"/>
    <cellStyle name="Neutral 70 2" xfId="8450"/>
    <cellStyle name="Neutral 71" xfId="8451"/>
    <cellStyle name="Neutral 71 2" xfId="8452"/>
    <cellStyle name="Neutral 72" xfId="8453"/>
    <cellStyle name="Neutral 73" xfId="8454"/>
    <cellStyle name="Neutral 74" xfId="8455"/>
    <cellStyle name="Neutral 75" xfId="8456"/>
    <cellStyle name="Neutral 76" xfId="8457"/>
    <cellStyle name="Neutral 77" xfId="8458"/>
    <cellStyle name="Neutral 78" xfId="8459"/>
    <cellStyle name="Neutral 79" xfId="8460"/>
    <cellStyle name="Neutral 8" xfId="8461"/>
    <cellStyle name="Neutral 8 2" xfId="8462"/>
    <cellStyle name="Neutral 80" xfId="8463"/>
    <cellStyle name="Neutral 81" xfId="8464"/>
    <cellStyle name="Neutral 82" xfId="8465"/>
    <cellStyle name="Neutral 83" xfId="8466"/>
    <cellStyle name="Neutral 84" xfId="8467"/>
    <cellStyle name="Neutral 85" xfId="8468"/>
    <cellStyle name="Neutral 86" xfId="8469"/>
    <cellStyle name="Neutral 87" xfId="8470"/>
    <cellStyle name="Neutral 88" xfId="8471"/>
    <cellStyle name="Neutral 89" xfId="8472"/>
    <cellStyle name="Neutral 9" xfId="8473"/>
    <cellStyle name="Neutral 9 2" xfId="8474"/>
    <cellStyle name="Neutral 90" xfId="8475"/>
    <cellStyle name="Neutral 91" xfId="8476"/>
    <cellStyle name="Neutral 92" xfId="8477"/>
    <cellStyle name="Neutral 93" xfId="8478"/>
    <cellStyle name="Neutral 94" xfId="8479"/>
    <cellStyle name="Neutral 95" xfId="8480"/>
    <cellStyle name="Neutral 96" xfId="8481"/>
    <cellStyle name="Neutral 97" xfId="8482"/>
    <cellStyle name="Neutral 98" xfId="8483"/>
    <cellStyle name="Neutral 99" xfId="8484"/>
    <cellStyle name="Normal" xfId="0" builtinId="0"/>
    <cellStyle name="Normal 10" xfId="8485"/>
    <cellStyle name="Normal 10 2" xfId="8486"/>
    <cellStyle name="Normal 10 3" xfId="8487"/>
    <cellStyle name="Normal 100" xfId="8488"/>
    <cellStyle name="Normal 100 2" xfId="8489"/>
    <cellStyle name="Normal 100 3" xfId="8490"/>
    <cellStyle name="Normal 101" xfId="11130"/>
    <cellStyle name="Normal 102" xfId="8491"/>
    <cellStyle name="Normal 102 2" xfId="8492"/>
    <cellStyle name="Normal 102 3" xfId="8493"/>
    <cellStyle name="Normal 103" xfId="8494"/>
    <cellStyle name="Normal 103 2" xfId="8495"/>
    <cellStyle name="Normal 103 3" xfId="8496"/>
    <cellStyle name="Normal 104" xfId="8497"/>
    <cellStyle name="Normal 104 2" xfId="8498"/>
    <cellStyle name="Normal 104 3" xfId="8499"/>
    <cellStyle name="Normal 105" xfId="8500"/>
    <cellStyle name="Normal 105 2" xfId="8501"/>
    <cellStyle name="Normal 105 3" xfId="8502"/>
    <cellStyle name="Normal 106" xfId="8503"/>
    <cellStyle name="Normal 106 2" xfId="8504"/>
    <cellStyle name="Normal 106 3" xfId="8505"/>
    <cellStyle name="Normal 107" xfId="8506"/>
    <cellStyle name="Normal 107 2" xfId="8507"/>
    <cellStyle name="Normal 107 3" xfId="8508"/>
    <cellStyle name="Normal 108" xfId="8509"/>
    <cellStyle name="Normal 108 2" xfId="8510"/>
    <cellStyle name="Normal 108 3" xfId="8511"/>
    <cellStyle name="Normal 109" xfId="8512"/>
    <cellStyle name="Normal 109 2" xfId="8513"/>
    <cellStyle name="Normal 109 3" xfId="8514"/>
    <cellStyle name="Normal 11" xfId="8515"/>
    <cellStyle name="Normal 11 2" xfId="8516"/>
    <cellStyle name="Normal 11 3" xfId="8517"/>
    <cellStyle name="Normal 110" xfId="8518"/>
    <cellStyle name="Normal 110 2" xfId="8519"/>
    <cellStyle name="Normal 110 3" xfId="8520"/>
    <cellStyle name="Normal 111" xfId="8521"/>
    <cellStyle name="Normal 111 2" xfId="8522"/>
    <cellStyle name="Normal 111 3" xfId="8523"/>
    <cellStyle name="Normal 112" xfId="8524"/>
    <cellStyle name="Normal 112 2" xfId="8525"/>
    <cellStyle name="Normal 112 3" xfId="8526"/>
    <cellStyle name="Normal 113" xfId="8527"/>
    <cellStyle name="Normal 113 2" xfId="8528"/>
    <cellStyle name="Normal 113 3" xfId="8529"/>
    <cellStyle name="Normal 114" xfId="8530"/>
    <cellStyle name="Normal 114 2" xfId="8531"/>
    <cellStyle name="Normal 114 3" xfId="8532"/>
    <cellStyle name="Normal 115" xfId="8533"/>
    <cellStyle name="Normal 115 2" xfId="8534"/>
    <cellStyle name="Normal 115 3" xfId="8535"/>
    <cellStyle name="Normal 116" xfId="8536"/>
    <cellStyle name="Normal 116 2" xfId="8537"/>
    <cellStyle name="Normal 116 3" xfId="8538"/>
    <cellStyle name="Normal 117" xfId="8539"/>
    <cellStyle name="Normal 117 2" xfId="8540"/>
    <cellStyle name="Normal 117 3" xfId="8541"/>
    <cellStyle name="Normal 118" xfId="8542"/>
    <cellStyle name="Normal 118 2" xfId="8543"/>
    <cellStyle name="Normal 118 3" xfId="8544"/>
    <cellStyle name="Normal 119" xfId="8545"/>
    <cellStyle name="Normal 119 2" xfId="8546"/>
    <cellStyle name="Normal 119 3" xfId="8547"/>
    <cellStyle name="Normal 12" xfId="8548"/>
    <cellStyle name="Normal 12 2" xfId="8549"/>
    <cellStyle name="Normal 12 3" xfId="8550"/>
    <cellStyle name="Normal 128" xfId="8551"/>
    <cellStyle name="Normal 128 2" xfId="8552"/>
    <cellStyle name="Normal 128 3" xfId="8553"/>
    <cellStyle name="Normal 129" xfId="8554"/>
    <cellStyle name="Normal 129 2" xfId="8555"/>
    <cellStyle name="Normal 129 3" xfId="8556"/>
    <cellStyle name="Normal 13" xfId="8557"/>
    <cellStyle name="Normal 13 2" xfId="8558"/>
    <cellStyle name="Normal 13 3" xfId="8559"/>
    <cellStyle name="Normal 130" xfId="8560"/>
    <cellStyle name="Normal 130 2" xfId="8561"/>
    <cellStyle name="Normal 130 3" xfId="8562"/>
    <cellStyle name="Normal 131" xfId="8563"/>
    <cellStyle name="Normal 131 2" xfId="8564"/>
    <cellStyle name="Normal 131 3" xfId="8565"/>
    <cellStyle name="Normal 132" xfId="8566"/>
    <cellStyle name="Normal 132 2" xfId="8567"/>
    <cellStyle name="Normal 132 3" xfId="8568"/>
    <cellStyle name="Normal 133" xfId="8569"/>
    <cellStyle name="Normal 133 2" xfId="8570"/>
    <cellStyle name="Normal 133 3" xfId="8571"/>
    <cellStyle name="Normal 134" xfId="8572"/>
    <cellStyle name="Normal 134 2" xfId="8573"/>
    <cellStyle name="Normal 134 3" xfId="8574"/>
    <cellStyle name="Normal 135" xfId="8575"/>
    <cellStyle name="Normal 135 2" xfId="8576"/>
    <cellStyle name="Normal 135 3" xfId="8577"/>
    <cellStyle name="Normal 137" xfId="8578"/>
    <cellStyle name="Normal 137 2" xfId="8579"/>
    <cellStyle name="Normal 137 3" xfId="8580"/>
    <cellStyle name="Normal 138" xfId="8581"/>
    <cellStyle name="Normal 138 2" xfId="8582"/>
    <cellStyle name="Normal 138 3" xfId="8583"/>
    <cellStyle name="Normal 139" xfId="8584"/>
    <cellStyle name="Normal 139 2" xfId="8585"/>
    <cellStyle name="Normal 139 3" xfId="8586"/>
    <cellStyle name="Normal 14" xfId="8587"/>
    <cellStyle name="Normal 14 2" xfId="8588"/>
    <cellStyle name="Normal 14 3" xfId="8589"/>
    <cellStyle name="Normal 140" xfId="8590"/>
    <cellStyle name="Normal 140 2" xfId="8591"/>
    <cellStyle name="Normal 140 3" xfId="8592"/>
    <cellStyle name="Normal 141" xfId="8593"/>
    <cellStyle name="Normal 141 2" xfId="8594"/>
    <cellStyle name="Normal 141 3" xfId="8595"/>
    <cellStyle name="Normal 142" xfId="8596"/>
    <cellStyle name="Normal 142 2" xfId="8597"/>
    <cellStyle name="Normal 142 3" xfId="8598"/>
    <cellStyle name="Normal 143" xfId="8599"/>
    <cellStyle name="Normal 143 2" xfId="8600"/>
    <cellStyle name="Normal 143 3" xfId="8601"/>
    <cellStyle name="Normal 144" xfId="8602"/>
    <cellStyle name="Normal 144 2" xfId="8603"/>
    <cellStyle name="Normal 144 3" xfId="8604"/>
    <cellStyle name="Normal 145" xfId="8605"/>
    <cellStyle name="Normal 145 2" xfId="8606"/>
    <cellStyle name="Normal 145 3" xfId="8607"/>
    <cellStyle name="Normal 146" xfId="8608"/>
    <cellStyle name="Normal 146 2" xfId="8609"/>
    <cellStyle name="Normal 146 3" xfId="8610"/>
    <cellStyle name="Normal 147" xfId="8611"/>
    <cellStyle name="Normal 147 2" xfId="8612"/>
    <cellStyle name="Normal 147 3" xfId="8613"/>
    <cellStyle name="Normal 148" xfId="8614"/>
    <cellStyle name="Normal 148 2" xfId="8615"/>
    <cellStyle name="Normal 148 3" xfId="8616"/>
    <cellStyle name="Normal 149" xfId="8617"/>
    <cellStyle name="Normal 149 2" xfId="8618"/>
    <cellStyle name="Normal 149 3" xfId="8619"/>
    <cellStyle name="Normal 15" xfId="8620"/>
    <cellStyle name="Normal 15 2" xfId="8621"/>
    <cellStyle name="Normal 15 3" xfId="8622"/>
    <cellStyle name="Normal 150" xfId="8623"/>
    <cellStyle name="Normal 150 2" xfId="8624"/>
    <cellStyle name="Normal 150 3" xfId="8625"/>
    <cellStyle name="Normal 151" xfId="8626"/>
    <cellStyle name="Normal 151 2" xfId="8627"/>
    <cellStyle name="Normal 151 3" xfId="8628"/>
    <cellStyle name="Normal 152" xfId="8629"/>
    <cellStyle name="Normal 152 2" xfId="8630"/>
    <cellStyle name="Normal 152 3" xfId="8631"/>
    <cellStyle name="Normal 153" xfId="8632"/>
    <cellStyle name="Normal 153 2" xfId="8633"/>
    <cellStyle name="Normal 153 3" xfId="8634"/>
    <cellStyle name="Normal 154" xfId="8635"/>
    <cellStyle name="Normal 154 2" xfId="8636"/>
    <cellStyle name="Normal 154 3" xfId="8637"/>
    <cellStyle name="Normal 155" xfId="8638"/>
    <cellStyle name="Normal 155 2" xfId="8639"/>
    <cellStyle name="Normal 155 3" xfId="8640"/>
    <cellStyle name="Normal 16" xfId="8641"/>
    <cellStyle name="Normal 16 2" xfId="8642"/>
    <cellStyle name="Normal 16 3" xfId="8643"/>
    <cellStyle name="Normal 17" xfId="8644"/>
    <cellStyle name="Normal 17 2" xfId="8645"/>
    <cellStyle name="Normal 17 3" xfId="8646"/>
    <cellStyle name="Normal 18" xfId="8647"/>
    <cellStyle name="Normal 18 2" xfId="8648"/>
    <cellStyle name="Normal 18 3" xfId="8649"/>
    <cellStyle name="Normal 19" xfId="8650"/>
    <cellStyle name="Normal 19 2" xfId="8651"/>
    <cellStyle name="Normal 19 3" xfId="8652"/>
    <cellStyle name="Normal 2" xfId="4"/>
    <cellStyle name="Normal 2 10" xfId="8653"/>
    <cellStyle name="Normal 2 11" xfId="8654"/>
    <cellStyle name="Normal 2 12" xfId="8655"/>
    <cellStyle name="Normal 2 13" xfId="8656"/>
    <cellStyle name="Normal 2 14" xfId="8657"/>
    <cellStyle name="Normal 2 15" xfId="8658"/>
    <cellStyle name="Normal 2 16" xfId="8659"/>
    <cellStyle name="Normal 2 17" xfId="8660"/>
    <cellStyle name="Normal 2 18" xfId="8661"/>
    <cellStyle name="Normal 2 19" xfId="8662"/>
    <cellStyle name="Normal 2 2" xfId="8663"/>
    <cellStyle name="Normal 2 2 10" xfId="8664"/>
    <cellStyle name="Normal 2 2 11" xfId="8665"/>
    <cellStyle name="Normal 2 2 12" xfId="8666"/>
    <cellStyle name="Normal 2 2 13" xfId="8667"/>
    <cellStyle name="Normal 2 2 14" xfId="8668"/>
    <cellStyle name="Normal 2 2 15" xfId="8669"/>
    <cellStyle name="Normal 2 2 16" xfId="8670"/>
    <cellStyle name="Normal 2 2 17" xfId="8671"/>
    <cellStyle name="Normal 2 2 18" xfId="8672"/>
    <cellStyle name="Normal 2 2 19" xfId="8673"/>
    <cellStyle name="Normal 2 2 2" xfId="8674"/>
    <cellStyle name="Normal 2 2 2 10" xfId="8675"/>
    <cellStyle name="Normal 2 2 2 11" xfId="8676"/>
    <cellStyle name="Normal 2 2 2 12" xfId="8677"/>
    <cellStyle name="Normal 2 2 2 2" xfId="8678"/>
    <cellStyle name="Normal 2 2 2 3" xfId="8679"/>
    <cellStyle name="Normal 2 2 2 4" xfId="8680"/>
    <cellStyle name="Normal 2 2 2 5" xfId="8681"/>
    <cellStyle name="Normal 2 2 2 6" xfId="8682"/>
    <cellStyle name="Normal 2 2 2 7" xfId="8683"/>
    <cellStyle name="Normal 2 2 2 8" xfId="8684"/>
    <cellStyle name="Normal 2 2 2 9" xfId="8685"/>
    <cellStyle name="Normal 2 2 20" xfId="8686"/>
    <cellStyle name="Normal 2 2 21" xfId="8687"/>
    <cellStyle name="Normal 2 2 22" xfId="8688"/>
    <cellStyle name="Normal 2 2 23" xfId="8689"/>
    <cellStyle name="Normal 2 2 24" xfId="8690"/>
    <cellStyle name="Normal 2 2 25" xfId="8691"/>
    <cellStyle name="Normal 2 2 26" xfId="8692"/>
    <cellStyle name="Normal 2 2 27" xfId="8693"/>
    <cellStyle name="Normal 2 2 28" xfId="8694"/>
    <cellStyle name="Normal 2 2 29" xfId="8695"/>
    <cellStyle name="Normal 2 2 3" xfId="8696"/>
    <cellStyle name="Normal 2 2 3 2" xfId="8697"/>
    <cellStyle name="Normal 2 2 30" xfId="8698"/>
    <cellStyle name="Normal 2 2 4" xfId="8699"/>
    <cellStyle name="Normal 2 2 5" xfId="8700"/>
    <cellStyle name="Normal 2 2 6" xfId="8701"/>
    <cellStyle name="Normal 2 2 7" xfId="8702"/>
    <cellStyle name="Normal 2 2 8" xfId="8703"/>
    <cellStyle name="Normal 2 2 9" xfId="8704"/>
    <cellStyle name="Normal 2 20" xfId="8705"/>
    <cellStyle name="Normal 2 21" xfId="8706"/>
    <cellStyle name="Normal 2 22" xfId="8707"/>
    <cellStyle name="Normal 2 23" xfId="8708"/>
    <cellStyle name="Normal 2 24" xfId="8709"/>
    <cellStyle name="Normal 2 25" xfId="8710"/>
    <cellStyle name="Normal 2 26" xfId="8711"/>
    <cellStyle name="Normal 2 27" xfId="8712"/>
    <cellStyle name="Normal 2 28" xfId="8713"/>
    <cellStyle name="Normal 2 29" xfId="8714"/>
    <cellStyle name="Normal 2 3" xfId="8715"/>
    <cellStyle name="Normal 2 3 2" xfId="8716"/>
    <cellStyle name="Normal 2 30" xfId="8717"/>
    <cellStyle name="Normal 2 31" xfId="8718"/>
    <cellStyle name="Normal 2 32" xfId="8719"/>
    <cellStyle name="Normal 2 33" xfId="8720"/>
    <cellStyle name="Normal 2 34" xfId="8721"/>
    <cellStyle name="Normal 2 35" xfId="8722"/>
    <cellStyle name="Normal 2 36" xfId="8723"/>
    <cellStyle name="Normal 2 37" xfId="8724"/>
    <cellStyle name="Normal 2 37 10" xfId="8725"/>
    <cellStyle name="Normal 2 37 11" xfId="8726"/>
    <cellStyle name="Normal 2 37 12" xfId="8727"/>
    <cellStyle name="Normal 2 37 13" xfId="8728"/>
    <cellStyle name="Normal 2 37 14" xfId="8729"/>
    <cellStyle name="Normal 2 37 15" xfId="8730"/>
    <cellStyle name="Normal 2 37 16" xfId="8731"/>
    <cellStyle name="Normal 2 37 17" xfId="8732"/>
    <cellStyle name="Normal 2 37 18" xfId="8733"/>
    <cellStyle name="Normal 2 37 2" xfId="8734"/>
    <cellStyle name="Normal 2 37 3" xfId="8735"/>
    <cellStyle name="Normal 2 37 4" xfId="8736"/>
    <cellStyle name="Normal 2 37 5" xfId="8737"/>
    <cellStyle name="Normal 2 37 6" xfId="8738"/>
    <cellStyle name="Normal 2 37 7" xfId="8739"/>
    <cellStyle name="Normal 2 37 8" xfId="8740"/>
    <cellStyle name="Normal 2 37 9" xfId="8741"/>
    <cellStyle name="Normal 2 38" xfId="8742"/>
    <cellStyle name="Normal 2 38 10" xfId="8743"/>
    <cellStyle name="Normal 2 38 11" xfId="8744"/>
    <cellStyle name="Normal 2 38 12" xfId="8745"/>
    <cellStyle name="Normal 2 38 13" xfId="8746"/>
    <cellStyle name="Normal 2 38 14" xfId="8747"/>
    <cellStyle name="Normal 2 38 15" xfId="8748"/>
    <cellStyle name="Normal 2 38 16" xfId="8749"/>
    <cellStyle name="Normal 2 38 17" xfId="8750"/>
    <cellStyle name="Normal 2 38 18" xfId="8751"/>
    <cellStyle name="Normal 2 38 2" xfId="8752"/>
    <cellStyle name="Normal 2 38 3" xfId="8753"/>
    <cellStyle name="Normal 2 38 4" xfId="8754"/>
    <cellStyle name="Normal 2 38 5" xfId="8755"/>
    <cellStyle name="Normal 2 38 6" xfId="8756"/>
    <cellStyle name="Normal 2 38 7" xfId="8757"/>
    <cellStyle name="Normal 2 38 8" xfId="8758"/>
    <cellStyle name="Normal 2 38 9" xfId="8759"/>
    <cellStyle name="Normal 2 39" xfId="8760"/>
    <cellStyle name="Normal 2 39 10" xfId="8761"/>
    <cellStyle name="Normal 2 39 11" xfId="8762"/>
    <cellStyle name="Normal 2 39 12" xfId="8763"/>
    <cellStyle name="Normal 2 39 13" xfId="8764"/>
    <cellStyle name="Normal 2 39 14" xfId="8765"/>
    <cellStyle name="Normal 2 39 15" xfId="8766"/>
    <cellStyle name="Normal 2 39 16" xfId="8767"/>
    <cellStyle name="Normal 2 39 17" xfId="8768"/>
    <cellStyle name="Normal 2 39 18" xfId="8769"/>
    <cellStyle name="Normal 2 39 2" xfId="8770"/>
    <cellStyle name="Normal 2 39 3" xfId="8771"/>
    <cellStyle name="Normal 2 39 4" xfId="8772"/>
    <cellStyle name="Normal 2 39 5" xfId="8773"/>
    <cellStyle name="Normal 2 39 6" xfId="8774"/>
    <cellStyle name="Normal 2 39 7" xfId="8775"/>
    <cellStyle name="Normal 2 39 8" xfId="8776"/>
    <cellStyle name="Normal 2 39 9" xfId="8777"/>
    <cellStyle name="Normal 2 4" xfId="8778"/>
    <cellStyle name="Normal 2 40" xfId="8779"/>
    <cellStyle name="Normal 2 40 10" xfId="8780"/>
    <cellStyle name="Normal 2 40 11" xfId="8781"/>
    <cellStyle name="Normal 2 40 12" xfId="8782"/>
    <cellStyle name="Normal 2 40 13" xfId="8783"/>
    <cellStyle name="Normal 2 40 14" xfId="8784"/>
    <cellStyle name="Normal 2 40 15" xfId="8785"/>
    <cellStyle name="Normal 2 40 16" xfId="8786"/>
    <cellStyle name="Normal 2 40 17" xfId="8787"/>
    <cellStyle name="Normal 2 40 18" xfId="8788"/>
    <cellStyle name="Normal 2 40 2" xfId="8789"/>
    <cellStyle name="Normal 2 40 3" xfId="8790"/>
    <cellStyle name="Normal 2 40 4" xfId="8791"/>
    <cellStyle name="Normal 2 40 5" xfId="8792"/>
    <cellStyle name="Normal 2 40 6" xfId="8793"/>
    <cellStyle name="Normal 2 40 7" xfId="8794"/>
    <cellStyle name="Normal 2 40 8" xfId="8795"/>
    <cellStyle name="Normal 2 40 9" xfId="8796"/>
    <cellStyle name="Normal 2 41" xfId="8797"/>
    <cellStyle name="Normal 2 41 10" xfId="8798"/>
    <cellStyle name="Normal 2 41 11" xfId="8799"/>
    <cellStyle name="Normal 2 41 12" xfId="8800"/>
    <cellStyle name="Normal 2 41 13" xfId="8801"/>
    <cellStyle name="Normal 2 41 14" xfId="8802"/>
    <cellStyle name="Normal 2 41 15" xfId="8803"/>
    <cellStyle name="Normal 2 41 16" xfId="8804"/>
    <cellStyle name="Normal 2 41 17" xfId="8805"/>
    <cellStyle name="Normal 2 41 18" xfId="8806"/>
    <cellStyle name="Normal 2 41 2" xfId="8807"/>
    <cellStyle name="Normal 2 41 3" xfId="8808"/>
    <cellStyle name="Normal 2 41 4" xfId="8809"/>
    <cellStyle name="Normal 2 41 5" xfId="8810"/>
    <cellStyle name="Normal 2 41 6" xfId="8811"/>
    <cellStyle name="Normal 2 41 7" xfId="8812"/>
    <cellStyle name="Normal 2 41 8" xfId="8813"/>
    <cellStyle name="Normal 2 41 9" xfId="8814"/>
    <cellStyle name="Normal 2 42" xfId="8815"/>
    <cellStyle name="Normal 2 42 10" xfId="8816"/>
    <cellStyle name="Normal 2 42 11" xfId="8817"/>
    <cellStyle name="Normal 2 42 12" xfId="8818"/>
    <cellStyle name="Normal 2 42 13" xfId="8819"/>
    <cellStyle name="Normal 2 42 14" xfId="8820"/>
    <cellStyle name="Normal 2 42 15" xfId="8821"/>
    <cellStyle name="Normal 2 42 16" xfId="8822"/>
    <cellStyle name="Normal 2 42 17" xfId="8823"/>
    <cellStyle name="Normal 2 42 18" xfId="8824"/>
    <cellStyle name="Normal 2 42 2" xfId="8825"/>
    <cellStyle name="Normal 2 42 3" xfId="8826"/>
    <cellStyle name="Normal 2 42 4" xfId="8827"/>
    <cellStyle name="Normal 2 42 5" xfId="8828"/>
    <cellStyle name="Normal 2 42 6" xfId="8829"/>
    <cellStyle name="Normal 2 42 7" xfId="8830"/>
    <cellStyle name="Normal 2 42 8" xfId="8831"/>
    <cellStyle name="Normal 2 42 9" xfId="8832"/>
    <cellStyle name="Normal 2 43" xfId="8833"/>
    <cellStyle name="Normal 2 43 10" xfId="8834"/>
    <cellStyle name="Normal 2 43 11" xfId="8835"/>
    <cellStyle name="Normal 2 43 12" xfId="8836"/>
    <cellStyle name="Normal 2 43 13" xfId="8837"/>
    <cellStyle name="Normal 2 43 14" xfId="8838"/>
    <cellStyle name="Normal 2 43 15" xfId="8839"/>
    <cellStyle name="Normal 2 43 16" xfId="8840"/>
    <cellStyle name="Normal 2 43 17" xfId="8841"/>
    <cellStyle name="Normal 2 43 18" xfId="8842"/>
    <cellStyle name="Normal 2 43 2" xfId="8843"/>
    <cellStyle name="Normal 2 43 3" xfId="8844"/>
    <cellStyle name="Normal 2 43 4" xfId="8845"/>
    <cellStyle name="Normal 2 43 5" xfId="8846"/>
    <cellStyle name="Normal 2 43 6" xfId="8847"/>
    <cellStyle name="Normal 2 43 7" xfId="8848"/>
    <cellStyle name="Normal 2 43 8" xfId="8849"/>
    <cellStyle name="Normal 2 43 9" xfId="8850"/>
    <cellStyle name="Normal 2 44" xfId="8851"/>
    <cellStyle name="Normal 2 5" xfId="8852"/>
    <cellStyle name="Normal 2 6" xfId="8853"/>
    <cellStyle name="Normal 2 7" xfId="8854"/>
    <cellStyle name="Normal 2 8" xfId="8855"/>
    <cellStyle name="Normal 2 9" xfId="8856"/>
    <cellStyle name="Normal 20" xfId="8857"/>
    <cellStyle name="Normal 20 2" xfId="8858"/>
    <cellStyle name="Normal 20 3" xfId="8859"/>
    <cellStyle name="Normal 21" xfId="8860"/>
    <cellStyle name="Normal 21 2" xfId="8861"/>
    <cellStyle name="Normal 21 3" xfId="8862"/>
    <cellStyle name="Normal 22" xfId="8863"/>
    <cellStyle name="Normal 22 2" xfId="8864"/>
    <cellStyle name="Normal 22 3" xfId="8865"/>
    <cellStyle name="Normal 23" xfId="8866"/>
    <cellStyle name="Normal 23 2" xfId="8867"/>
    <cellStyle name="Normal 23 3" xfId="8868"/>
    <cellStyle name="Normal 24" xfId="8869"/>
    <cellStyle name="Normal 24 2" xfId="8870"/>
    <cellStyle name="Normal 24 3" xfId="8871"/>
    <cellStyle name="Normal 25" xfId="8872"/>
    <cellStyle name="Normal 25 2" xfId="8873"/>
    <cellStyle name="Normal 25 3" xfId="8874"/>
    <cellStyle name="Normal 26" xfId="8875"/>
    <cellStyle name="Normal 26 2" xfId="8876"/>
    <cellStyle name="Normal 26 3" xfId="8877"/>
    <cellStyle name="Normal 27" xfId="8878"/>
    <cellStyle name="Normal 27 2" xfId="8879"/>
    <cellStyle name="Normal 27 3" xfId="8880"/>
    <cellStyle name="Normal 28" xfId="8881"/>
    <cellStyle name="Normal 28 2" xfId="8882"/>
    <cellStyle name="Normal 28 3" xfId="8883"/>
    <cellStyle name="Normal 29" xfId="8884"/>
    <cellStyle name="Normal 29 2" xfId="8885"/>
    <cellStyle name="Normal 29 3" xfId="8886"/>
    <cellStyle name="Normal 3" xfId="8887"/>
    <cellStyle name="Normal 3 2" xfId="8888"/>
    <cellStyle name="Normal 3 3" xfId="8889"/>
    <cellStyle name="Normal 3 3 2" xfId="8890"/>
    <cellStyle name="Normal 3 4" xfId="8891"/>
    <cellStyle name="Normal 30" xfId="8892"/>
    <cellStyle name="Normal 30 2" xfId="8893"/>
    <cellStyle name="Normal 30 3" xfId="8894"/>
    <cellStyle name="Normal 31" xfId="8895"/>
    <cellStyle name="Normal 31 2" xfId="8896"/>
    <cellStyle name="Normal 31 3" xfId="8897"/>
    <cellStyle name="Normal 32" xfId="8898"/>
    <cellStyle name="Normal 32 2" xfId="8899"/>
    <cellStyle name="Normal 32 3" xfId="8900"/>
    <cellStyle name="Normal 33" xfId="8901"/>
    <cellStyle name="Normal 33 2" xfId="8902"/>
    <cellStyle name="Normal 33 3" xfId="8903"/>
    <cellStyle name="Normal 34" xfId="8904"/>
    <cellStyle name="Normal 34 2" xfId="8905"/>
    <cellStyle name="Normal 34 3" xfId="8906"/>
    <cellStyle name="Normal 35" xfId="8907"/>
    <cellStyle name="Normal 35 2" xfId="8908"/>
    <cellStyle name="Normal 35 3" xfId="8909"/>
    <cellStyle name="Normal 36" xfId="8910"/>
    <cellStyle name="Normal 36 2" xfId="8911"/>
    <cellStyle name="Normal 36 3" xfId="8912"/>
    <cellStyle name="Normal 37" xfId="8913"/>
    <cellStyle name="Normal 37 2" xfId="8914"/>
    <cellStyle name="Normal 37 3" xfId="8915"/>
    <cellStyle name="Normal 38" xfId="8916"/>
    <cellStyle name="Normal 38 2" xfId="8917"/>
    <cellStyle name="Normal 38 3" xfId="8918"/>
    <cellStyle name="Normal 39" xfId="8919"/>
    <cellStyle name="Normal 39 2" xfId="8920"/>
    <cellStyle name="Normal 39 3" xfId="8921"/>
    <cellStyle name="Normal 4" xfId="8922"/>
    <cellStyle name="Normal 4 2" xfId="8923"/>
    <cellStyle name="Normal 4 3" xfId="8924"/>
    <cellStyle name="Normal 40" xfId="8925"/>
    <cellStyle name="Normal 40 2" xfId="8926"/>
    <cellStyle name="Normal 40 3" xfId="8927"/>
    <cellStyle name="Normal 41" xfId="8928"/>
    <cellStyle name="Normal 41 2" xfId="8929"/>
    <cellStyle name="Normal 41 3" xfId="8930"/>
    <cellStyle name="Normal 41 4" xfId="8931"/>
    <cellStyle name="Normal 42" xfId="8932"/>
    <cellStyle name="Normal 42 2" xfId="8933"/>
    <cellStyle name="Normal 42 3" xfId="8934"/>
    <cellStyle name="Normal 42 4" xfId="8935"/>
    <cellStyle name="Normal 43" xfId="8936"/>
    <cellStyle name="Normal 43 2" xfId="8937"/>
    <cellStyle name="Normal 43 3" xfId="8938"/>
    <cellStyle name="Normal 43 4" xfId="8939"/>
    <cellStyle name="Normal 44" xfId="8940"/>
    <cellStyle name="Normal 44 2" xfId="8941"/>
    <cellStyle name="Normal 44 3" xfId="8942"/>
    <cellStyle name="Normal 44 4" xfId="8943"/>
    <cellStyle name="Normal 45" xfId="8944"/>
    <cellStyle name="Normal 45 2" xfId="8945"/>
    <cellStyle name="Normal 45 3" xfId="8946"/>
    <cellStyle name="Normal 45 4" xfId="8947"/>
    <cellStyle name="Normal 46" xfId="8948"/>
    <cellStyle name="Normal 46 2" xfId="8949"/>
    <cellStyle name="Normal 46 3" xfId="8950"/>
    <cellStyle name="Normal 46 4" xfId="8951"/>
    <cellStyle name="Normal 47" xfId="8952"/>
    <cellStyle name="Normal 47 2" xfId="8953"/>
    <cellStyle name="Normal 47 3" xfId="8954"/>
    <cellStyle name="Normal 47 4" xfId="8955"/>
    <cellStyle name="Normal 48" xfId="8956"/>
    <cellStyle name="Normal 48 2" xfId="8957"/>
    <cellStyle name="Normal 48 3" xfId="8958"/>
    <cellStyle name="Normal 48 4" xfId="8959"/>
    <cellStyle name="Normal 49" xfId="8960"/>
    <cellStyle name="Normal 49 2" xfId="8961"/>
    <cellStyle name="Normal 49 3" xfId="8962"/>
    <cellStyle name="Normal 5" xfId="8963"/>
    <cellStyle name="Normal 5 2" xfId="8964"/>
    <cellStyle name="Normal 5 2 2" xfId="8965"/>
    <cellStyle name="Normal 5 2 3" xfId="8966"/>
    <cellStyle name="Normal 5 3" xfId="8967"/>
    <cellStyle name="Normal 50" xfId="8968"/>
    <cellStyle name="Normal 50 2" xfId="8969"/>
    <cellStyle name="Normal 50 3" xfId="8970"/>
    <cellStyle name="Normal 51" xfId="8971"/>
    <cellStyle name="Normal 51 2" xfId="8972"/>
    <cellStyle name="Normal 51 3" xfId="8973"/>
    <cellStyle name="Normal 52" xfId="8974"/>
    <cellStyle name="Normal 52 2" xfId="8975"/>
    <cellStyle name="Normal 52 3" xfId="8976"/>
    <cellStyle name="Normal 53" xfId="8977"/>
    <cellStyle name="Normal 53 10" xfId="8978"/>
    <cellStyle name="Normal 53 11" xfId="8979"/>
    <cellStyle name="Normal 53 12" xfId="8980"/>
    <cellStyle name="Normal 53 13" xfId="8981"/>
    <cellStyle name="Normal 53 14" xfId="8982"/>
    <cellStyle name="Normal 53 15" xfId="8983"/>
    <cellStyle name="Normal 53 16" xfId="8984"/>
    <cellStyle name="Normal 53 17" xfId="8985"/>
    <cellStyle name="Normal 53 18" xfId="8986"/>
    <cellStyle name="Normal 53 19" xfId="8987"/>
    <cellStyle name="Normal 53 2" xfId="8988"/>
    <cellStyle name="Normal 53 20" xfId="8989"/>
    <cellStyle name="Normal 53 21" xfId="8990"/>
    <cellStyle name="Normal 53 22" xfId="8991"/>
    <cellStyle name="Normal 53 23" xfId="8992"/>
    <cellStyle name="Normal 53 3" xfId="8993"/>
    <cellStyle name="Normal 53 4" xfId="8994"/>
    <cellStyle name="Normal 53 5" xfId="8995"/>
    <cellStyle name="Normal 53 6" xfId="8996"/>
    <cellStyle name="Normal 53 7" xfId="8997"/>
    <cellStyle name="Normal 53 8" xfId="8998"/>
    <cellStyle name="Normal 53 9" xfId="8999"/>
    <cellStyle name="Normal 54" xfId="9000"/>
    <cellStyle name="Normal 54 10" xfId="9001"/>
    <cellStyle name="Normal 54 11" xfId="9002"/>
    <cellStyle name="Normal 54 12" xfId="9003"/>
    <cellStyle name="Normal 54 13" xfId="9004"/>
    <cellStyle name="Normal 54 14" xfId="9005"/>
    <cellStyle name="Normal 54 15" xfId="9006"/>
    <cellStyle name="Normal 54 16" xfId="9007"/>
    <cellStyle name="Normal 54 17" xfId="9008"/>
    <cellStyle name="Normal 54 18" xfId="9009"/>
    <cellStyle name="Normal 54 19" xfId="9010"/>
    <cellStyle name="Normal 54 2" xfId="9011"/>
    <cellStyle name="Normal 54 20" xfId="9012"/>
    <cellStyle name="Normal 54 21" xfId="9013"/>
    <cellStyle name="Normal 54 22" xfId="9014"/>
    <cellStyle name="Normal 54 23" xfId="9015"/>
    <cellStyle name="Normal 54 3" xfId="9016"/>
    <cellStyle name="Normal 54 4" xfId="9017"/>
    <cellStyle name="Normal 54 5" xfId="9018"/>
    <cellStyle name="Normal 54 6" xfId="9019"/>
    <cellStyle name="Normal 54 7" xfId="9020"/>
    <cellStyle name="Normal 54 8" xfId="9021"/>
    <cellStyle name="Normal 54 9" xfId="9022"/>
    <cellStyle name="Normal 55" xfId="9023"/>
    <cellStyle name="Normal 55 10" xfId="9024"/>
    <cellStyle name="Normal 55 11" xfId="9025"/>
    <cellStyle name="Normal 55 12" xfId="9026"/>
    <cellStyle name="Normal 55 13" xfId="9027"/>
    <cellStyle name="Normal 55 14" xfId="9028"/>
    <cellStyle name="Normal 55 15" xfId="9029"/>
    <cellStyle name="Normal 55 16" xfId="9030"/>
    <cellStyle name="Normal 55 17" xfId="9031"/>
    <cellStyle name="Normal 55 18" xfId="9032"/>
    <cellStyle name="Normal 55 19" xfId="9033"/>
    <cellStyle name="Normal 55 2" xfId="9034"/>
    <cellStyle name="Normal 55 20" xfId="9035"/>
    <cellStyle name="Normal 55 21" xfId="9036"/>
    <cellStyle name="Normal 55 22" xfId="9037"/>
    <cellStyle name="Normal 55 23" xfId="9038"/>
    <cellStyle name="Normal 55 3" xfId="9039"/>
    <cellStyle name="Normal 55 4" xfId="9040"/>
    <cellStyle name="Normal 55 5" xfId="9041"/>
    <cellStyle name="Normal 55 6" xfId="9042"/>
    <cellStyle name="Normal 55 7" xfId="9043"/>
    <cellStyle name="Normal 55 8" xfId="9044"/>
    <cellStyle name="Normal 55 9" xfId="9045"/>
    <cellStyle name="Normal 56" xfId="9046"/>
    <cellStyle name="Normal 56 10" xfId="9047"/>
    <cellStyle name="Normal 56 11" xfId="9048"/>
    <cellStyle name="Normal 56 12" xfId="9049"/>
    <cellStyle name="Normal 56 13" xfId="9050"/>
    <cellStyle name="Normal 56 14" xfId="9051"/>
    <cellStyle name="Normal 56 15" xfId="9052"/>
    <cellStyle name="Normal 56 16" xfId="9053"/>
    <cellStyle name="Normal 56 17" xfId="9054"/>
    <cellStyle name="Normal 56 18" xfId="9055"/>
    <cellStyle name="Normal 56 19" xfId="9056"/>
    <cellStyle name="Normal 56 2" xfId="9057"/>
    <cellStyle name="Normal 56 20" xfId="9058"/>
    <cellStyle name="Normal 56 21" xfId="9059"/>
    <cellStyle name="Normal 56 22" xfId="9060"/>
    <cellStyle name="Normal 56 23" xfId="9061"/>
    <cellStyle name="Normal 56 3" xfId="9062"/>
    <cellStyle name="Normal 56 4" xfId="9063"/>
    <cellStyle name="Normal 56 5" xfId="9064"/>
    <cellStyle name="Normal 56 6" xfId="9065"/>
    <cellStyle name="Normal 56 7" xfId="9066"/>
    <cellStyle name="Normal 56 8" xfId="9067"/>
    <cellStyle name="Normal 56 9" xfId="9068"/>
    <cellStyle name="Normal 57" xfId="9069"/>
    <cellStyle name="Normal 57 10" xfId="9070"/>
    <cellStyle name="Normal 57 11" xfId="9071"/>
    <cellStyle name="Normal 57 12" xfId="9072"/>
    <cellStyle name="Normal 57 13" xfId="9073"/>
    <cellStyle name="Normal 57 14" xfId="9074"/>
    <cellStyle name="Normal 57 15" xfId="9075"/>
    <cellStyle name="Normal 57 16" xfId="9076"/>
    <cellStyle name="Normal 57 17" xfId="9077"/>
    <cellStyle name="Normal 57 18" xfId="9078"/>
    <cellStyle name="Normal 57 19" xfId="9079"/>
    <cellStyle name="Normal 57 2" xfId="9080"/>
    <cellStyle name="Normal 57 20" xfId="9081"/>
    <cellStyle name="Normal 57 21" xfId="9082"/>
    <cellStyle name="Normal 57 22" xfId="9083"/>
    <cellStyle name="Normal 57 3" xfId="9084"/>
    <cellStyle name="Normal 57 4" xfId="9085"/>
    <cellStyle name="Normal 57 5" xfId="9086"/>
    <cellStyle name="Normal 57 6" xfId="9087"/>
    <cellStyle name="Normal 57 7" xfId="9088"/>
    <cellStyle name="Normal 57 8" xfId="9089"/>
    <cellStyle name="Normal 57 9" xfId="9090"/>
    <cellStyle name="Normal 58" xfId="9091"/>
    <cellStyle name="Normal 58 10" xfId="9092"/>
    <cellStyle name="Normal 58 11" xfId="9093"/>
    <cellStyle name="Normal 58 12" xfId="9094"/>
    <cellStyle name="Normal 58 13" xfId="9095"/>
    <cellStyle name="Normal 58 14" xfId="9096"/>
    <cellStyle name="Normal 58 15" xfId="9097"/>
    <cellStyle name="Normal 58 16" xfId="9098"/>
    <cellStyle name="Normal 58 17" xfId="9099"/>
    <cellStyle name="Normal 58 18" xfId="9100"/>
    <cellStyle name="Normal 58 19" xfId="9101"/>
    <cellStyle name="Normal 58 2" xfId="9102"/>
    <cellStyle name="Normal 58 20" xfId="9103"/>
    <cellStyle name="Normal 58 21" xfId="9104"/>
    <cellStyle name="Normal 58 22" xfId="9105"/>
    <cellStyle name="Normal 58 23" xfId="9106"/>
    <cellStyle name="Normal 58 3" xfId="9107"/>
    <cellStyle name="Normal 58 4" xfId="9108"/>
    <cellStyle name="Normal 58 5" xfId="9109"/>
    <cellStyle name="Normal 58 6" xfId="9110"/>
    <cellStyle name="Normal 58 7" xfId="9111"/>
    <cellStyle name="Normal 58 8" xfId="9112"/>
    <cellStyle name="Normal 58 9" xfId="9113"/>
    <cellStyle name="Normal 59" xfId="9114"/>
    <cellStyle name="Normal 59 10" xfId="9115"/>
    <cellStyle name="Normal 59 11" xfId="9116"/>
    <cellStyle name="Normal 59 12" xfId="9117"/>
    <cellStyle name="Normal 59 13" xfId="9118"/>
    <cellStyle name="Normal 59 14" xfId="9119"/>
    <cellStyle name="Normal 59 15" xfId="9120"/>
    <cellStyle name="Normal 59 16" xfId="9121"/>
    <cellStyle name="Normal 59 17" xfId="9122"/>
    <cellStyle name="Normal 59 18" xfId="9123"/>
    <cellStyle name="Normal 59 19" xfId="9124"/>
    <cellStyle name="Normal 59 2" xfId="9125"/>
    <cellStyle name="Normal 59 20" xfId="9126"/>
    <cellStyle name="Normal 59 21" xfId="9127"/>
    <cellStyle name="Normal 59 22" xfId="9128"/>
    <cellStyle name="Normal 59 23" xfId="9129"/>
    <cellStyle name="Normal 59 3" xfId="9130"/>
    <cellStyle name="Normal 59 4" xfId="9131"/>
    <cellStyle name="Normal 59 5" xfId="9132"/>
    <cellStyle name="Normal 59 6" xfId="9133"/>
    <cellStyle name="Normal 59 7" xfId="9134"/>
    <cellStyle name="Normal 59 8" xfId="9135"/>
    <cellStyle name="Normal 59 9" xfId="9136"/>
    <cellStyle name="Normal 6" xfId="9137"/>
    <cellStyle name="Normal 6 2" xfId="9138"/>
    <cellStyle name="Normal 6 2 2" xfId="9139"/>
    <cellStyle name="Normal 6 3" xfId="9140"/>
    <cellStyle name="Normal 60" xfId="9141"/>
    <cellStyle name="Normal 60 10" xfId="9142"/>
    <cellStyle name="Normal 60 11" xfId="9143"/>
    <cellStyle name="Normal 60 12" xfId="9144"/>
    <cellStyle name="Normal 60 13" xfId="9145"/>
    <cellStyle name="Normal 60 14" xfId="9146"/>
    <cellStyle name="Normal 60 15" xfId="9147"/>
    <cellStyle name="Normal 60 16" xfId="9148"/>
    <cellStyle name="Normal 60 17" xfId="9149"/>
    <cellStyle name="Normal 60 18" xfId="9150"/>
    <cellStyle name="Normal 60 19" xfId="9151"/>
    <cellStyle name="Normal 60 2" xfId="9152"/>
    <cellStyle name="Normal 60 20" xfId="9153"/>
    <cellStyle name="Normal 60 21" xfId="9154"/>
    <cellStyle name="Normal 60 22" xfId="9155"/>
    <cellStyle name="Normal 60 23" xfId="9156"/>
    <cellStyle name="Normal 60 3" xfId="9157"/>
    <cellStyle name="Normal 60 4" xfId="9158"/>
    <cellStyle name="Normal 60 5" xfId="9159"/>
    <cellStyle name="Normal 60 6" xfId="9160"/>
    <cellStyle name="Normal 60 7" xfId="9161"/>
    <cellStyle name="Normal 60 8" xfId="9162"/>
    <cellStyle name="Normal 60 9" xfId="9163"/>
    <cellStyle name="Normal 61" xfId="9164"/>
    <cellStyle name="Normal 61 10" xfId="9165"/>
    <cellStyle name="Normal 61 11" xfId="9166"/>
    <cellStyle name="Normal 61 12" xfId="9167"/>
    <cellStyle name="Normal 61 13" xfId="9168"/>
    <cellStyle name="Normal 61 14" xfId="9169"/>
    <cellStyle name="Normal 61 15" xfId="9170"/>
    <cellStyle name="Normal 61 16" xfId="9171"/>
    <cellStyle name="Normal 61 17" xfId="9172"/>
    <cellStyle name="Normal 61 18" xfId="9173"/>
    <cellStyle name="Normal 61 19" xfId="9174"/>
    <cellStyle name="Normal 61 2" xfId="9175"/>
    <cellStyle name="Normal 61 20" xfId="9176"/>
    <cellStyle name="Normal 61 21" xfId="9177"/>
    <cellStyle name="Normal 61 22" xfId="9178"/>
    <cellStyle name="Normal 61 23" xfId="9179"/>
    <cellStyle name="Normal 61 3" xfId="9180"/>
    <cellStyle name="Normal 61 4" xfId="9181"/>
    <cellStyle name="Normal 61 5" xfId="9182"/>
    <cellStyle name="Normal 61 6" xfId="9183"/>
    <cellStyle name="Normal 61 7" xfId="9184"/>
    <cellStyle name="Normal 61 8" xfId="9185"/>
    <cellStyle name="Normal 61 9" xfId="9186"/>
    <cellStyle name="Normal 62" xfId="9187"/>
    <cellStyle name="Normal 62 10" xfId="9188"/>
    <cellStyle name="Normal 62 11" xfId="9189"/>
    <cellStyle name="Normal 62 12" xfId="9190"/>
    <cellStyle name="Normal 62 13" xfId="9191"/>
    <cellStyle name="Normal 62 14" xfId="9192"/>
    <cellStyle name="Normal 62 15" xfId="9193"/>
    <cellStyle name="Normal 62 16" xfId="9194"/>
    <cellStyle name="Normal 62 17" xfId="9195"/>
    <cellStyle name="Normal 62 18" xfId="9196"/>
    <cellStyle name="Normal 62 19" xfId="9197"/>
    <cellStyle name="Normal 62 2" xfId="9198"/>
    <cellStyle name="Normal 62 20" xfId="9199"/>
    <cellStyle name="Normal 62 21" xfId="9200"/>
    <cellStyle name="Normal 62 22" xfId="9201"/>
    <cellStyle name="Normal 62 3" xfId="9202"/>
    <cellStyle name="Normal 62 4" xfId="9203"/>
    <cellStyle name="Normal 62 5" xfId="9204"/>
    <cellStyle name="Normal 62 6" xfId="9205"/>
    <cellStyle name="Normal 62 7" xfId="9206"/>
    <cellStyle name="Normal 62 8" xfId="9207"/>
    <cellStyle name="Normal 62 9" xfId="9208"/>
    <cellStyle name="Normal 63" xfId="9209"/>
    <cellStyle name="Normal 63 10" xfId="9210"/>
    <cellStyle name="Normal 63 11" xfId="9211"/>
    <cellStyle name="Normal 63 12" xfId="9212"/>
    <cellStyle name="Normal 63 13" xfId="9213"/>
    <cellStyle name="Normal 63 14" xfId="9214"/>
    <cellStyle name="Normal 63 15" xfId="9215"/>
    <cellStyle name="Normal 63 16" xfId="9216"/>
    <cellStyle name="Normal 63 17" xfId="9217"/>
    <cellStyle name="Normal 63 18" xfId="9218"/>
    <cellStyle name="Normal 63 19" xfId="9219"/>
    <cellStyle name="Normal 63 2" xfId="9220"/>
    <cellStyle name="Normal 63 20" xfId="9221"/>
    <cellStyle name="Normal 63 21" xfId="9222"/>
    <cellStyle name="Normal 63 22" xfId="9223"/>
    <cellStyle name="Normal 63 3" xfId="9224"/>
    <cellStyle name="Normal 63 4" xfId="9225"/>
    <cellStyle name="Normal 63 5" xfId="9226"/>
    <cellStyle name="Normal 63 6" xfId="9227"/>
    <cellStyle name="Normal 63 7" xfId="9228"/>
    <cellStyle name="Normal 63 8" xfId="9229"/>
    <cellStyle name="Normal 63 9" xfId="9230"/>
    <cellStyle name="Normal 64" xfId="9231"/>
    <cellStyle name="Normal 64 10" xfId="9232"/>
    <cellStyle name="Normal 64 11" xfId="9233"/>
    <cellStyle name="Normal 64 12" xfId="9234"/>
    <cellStyle name="Normal 64 13" xfId="9235"/>
    <cellStyle name="Normal 64 14" xfId="9236"/>
    <cellStyle name="Normal 64 15" xfId="9237"/>
    <cellStyle name="Normal 64 16" xfId="9238"/>
    <cellStyle name="Normal 64 17" xfId="9239"/>
    <cellStyle name="Normal 64 18" xfId="9240"/>
    <cellStyle name="Normal 64 19" xfId="9241"/>
    <cellStyle name="Normal 64 2" xfId="9242"/>
    <cellStyle name="Normal 64 20" xfId="9243"/>
    <cellStyle name="Normal 64 21" xfId="9244"/>
    <cellStyle name="Normal 64 22" xfId="9245"/>
    <cellStyle name="Normal 64 3" xfId="9246"/>
    <cellStyle name="Normal 64 4" xfId="9247"/>
    <cellStyle name="Normal 64 5" xfId="9248"/>
    <cellStyle name="Normal 64 6" xfId="9249"/>
    <cellStyle name="Normal 64 7" xfId="9250"/>
    <cellStyle name="Normal 64 8" xfId="9251"/>
    <cellStyle name="Normal 64 9" xfId="9252"/>
    <cellStyle name="Normal 65" xfId="9253"/>
    <cellStyle name="Normal 65 10" xfId="9254"/>
    <cellStyle name="Normal 65 11" xfId="9255"/>
    <cellStyle name="Normal 65 12" xfId="9256"/>
    <cellStyle name="Normal 65 13" xfId="9257"/>
    <cellStyle name="Normal 65 14" xfId="9258"/>
    <cellStyle name="Normal 65 15" xfId="9259"/>
    <cellStyle name="Normal 65 16" xfId="9260"/>
    <cellStyle name="Normal 65 17" xfId="9261"/>
    <cellStyle name="Normal 65 18" xfId="9262"/>
    <cellStyle name="Normal 65 19" xfId="9263"/>
    <cellStyle name="Normal 65 2" xfId="9264"/>
    <cellStyle name="Normal 65 20" xfId="9265"/>
    <cellStyle name="Normal 65 21" xfId="9266"/>
    <cellStyle name="Normal 65 22" xfId="9267"/>
    <cellStyle name="Normal 65 3" xfId="9268"/>
    <cellStyle name="Normal 65 4" xfId="9269"/>
    <cellStyle name="Normal 65 5" xfId="9270"/>
    <cellStyle name="Normal 65 6" xfId="9271"/>
    <cellStyle name="Normal 65 7" xfId="9272"/>
    <cellStyle name="Normal 65 8" xfId="9273"/>
    <cellStyle name="Normal 65 9" xfId="9274"/>
    <cellStyle name="Normal 66" xfId="9275"/>
    <cellStyle name="Normal 66 10" xfId="9276"/>
    <cellStyle name="Normal 66 11" xfId="9277"/>
    <cellStyle name="Normal 66 12" xfId="9278"/>
    <cellStyle name="Normal 66 13" xfId="9279"/>
    <cellStyle name="Normal 66 14" xfId="9280"/>
    <cellStyle name="Normal 66 15" xfId="9281"/>
    <cellStyle name="Normal 66 16" xfId="9282"/>
    <cellStyle name="Normal 66 17" xfId="9283"/>
    <cellStyle name="Normal 66 18" xfId="9284"/>
    <cellStyle name="Normal 66 19" xfId="9285"/>
    <cellStyle name="Normal 66 2" xfId="9286"/>
    <cellStyle name="Normal 66 20" xfId="9287"/>
    <cellStyle name="Normal 66 21" xfId="9288"/>
    <cellStyle name="Normal 66 22" xfId="9289"/>
    <cellStyle name="Normal 66 3" xfId="9290"/>
    <cellStyle name="Normal 66 4" xfId="9291"/>
    <cellStyle name="Normal 66 5" xfId="9292"/>
    <cellStyle name="Normal 66 6" xfId="9293"/>
    <cellStyle name="Normal 66 7" xfId="9294"/>
    <cellStyle name="Normal 66 8" xfId="9295"/>
    <cellStyle name="Normal 66 9" xfId="9296"/>
    <cellStyle name="Normal 67" xfId="9297"/>
    <cellStyle name="Normal 67 10" xfId="9298"/>
    <cellStyle name="Normal 67 11" xfId="9299"/>
    <cellStyle name="Normal 67 12" xfId="9300"/>
    <cellStyle name="Normal 67 13" xfId="9301"/>
    <cellStyle name="Normal 67 14" xfId="9302"/>
    <cellStyle name="Normal 67 15" xfId="9303"/>
    <cellStyle name="Normal 67 16" xfId="9304"/>
    <cellStyle name="Normal 67 17" xfId="9305"/>
    <cellStyle name="Normal 67 18" xfId="9306"/>
    <cellStyle name="Normal 67 19" xfId="9307"/>
    <cellStyle name="Normal 67 2" xfId="9308"/>
    <cellStyle name="Normal 67 20" xfId="9309"/>
    <cellStyle name="Normal 67 21" xfId="9310"/>
    <cellStyle name="Normal 67 22" xfId="9311"/>
    <cellStyle name="Normal 67 23" xfId="9312"/>
    <cellStyle name="Normal 67 24" xfId="9313"/>
    <cellStyle name="Normal 67 3" xfId="9314"/>
    <cellStyle name="Normal 67 4" xfId="9315"/>
    <cellStyle name="Normal 67 5" xfId="9316"/>
    <cellStyle name="Normal 67 6" xfId="9317"/>
    <cellStyle name="Normal 67 7" xfId="9318"/>
    <cellStyle name="Normal 67 8" xfId="9319"/>
    <cellStyle name="Normal 67 9" xfId="9320"/>
    <cellStyle name="Normal 68" xfId="9321"/>
    <cellStyle name="Normal 68 10" xfId="9322"/>
    <cellStyle name="Normal 68 11" xfId="9323"/>
    <cellStyle name="Normal 68 12" xfId="9324"/>
    <cellStyle name="Normal 68 13" xfId="9325"/>
    <cellStyle name="Normal 68 14" xfId="9326"/>
    <cellStyle name="Normal 68 15" xfId="9327"/>
    <cellStyle name="Normal 68 16" xfId="9328"/>
    <cellStyle name="Normal 68 17" xfId="9329"/>
    <cellStyle name="Normal 68 18" xfId="9330"/>
    <cellStyle name="Normal 68 19" xfId="9331"/>
    <cellStyle name="Normal 68 2" xfId="9332"/>
    <cellStyle name="Normal 68 20" xfId="9333"/>
    <cellStyle name="Normal 68 21" xfId="9334"/>
    <cellStyle name="Normal 68 22" xfId="9335"/>
    <cellStyle name="Normal 68 23" xfId="9336"/>
    <cellStyle name="Normal 68 3" xfId="9337"/>
    <cellStyle name="Normal 68 4" xfId="9338"/>
    <cellStyle name="Normal 68 5" xfId="9339"/>
    <cellStyle name="Normal 68 6" xfId="9340"/>
    <cellStyle name="Normal 68 7" xfId="9341"/>
    <cellStyle name="Normal 68 8" xfId="9342"/>
    <cellStyle name="Normal 68 9" xfId="9343"/>
    <cellStyle name="Normal 69" xfId="9344"/>
    <cellStyle name="Normal 69 10" xfId="9345"/>
    <cellStyle name="Normal 69 11" xfId="9346"/>
    <cellStyle name="Normal 69 12" xfId="9347"/>
    <cellStyle name="Normal 69 13" xfId="9348"/>
    <cellStyle name="Normal 69 14" xfId="9349"/>
    <cellStyle name="Normal 69 15" xfId="9350"/>
    <cellStyle name="Normal 69 16" xfId="9351"/>
    <cellStyle name="Normal 69 17" xfId="9352"/>
    <cellStyle name="Normal 69 18" xfId="9353"/>
    <cellStyle name="Normal 69 19" xfId="9354"/>
    <cellStyle name="Normal 69 2" xfId="9355"/>
    <cellStyle name="Normal 69 20" xfId="9356"/>
    <cellStyle name="Normal 69 21" xfId="9357"/>
    <cellStyle name="Normal 69 3" xfId="9358"/>
    <cellStyle name="Normal 69 4" xfId="9359"/>
    <cellStyle name="Normal 69 5" xfId="9360"/>
    <cellStyle name="Normal 69 6" xfId="9361"/>
    <cellStyle name="Normal 69 7" xfId="9362"/>
    <cellStyle name="Normal 69 8" xfId="9363"/>
    <cellStyle name="Normal 69 9" xfId="9364"/>
    <cellStyle name="Normal 7" xfId="9365"/>
    <cellStyle name="Normal 7 2" xfId="9366"/>
    <cellStyle name="Normal 7 2 2" xfId="9367"/>
    <cellStyle name="Normal 70" xfId="9368"/>
    <cellStyle name="Normal 70 10" xfId="9369"/>
    <cellStyle name="Normal 70 11" xfId="9370"/>
    <cellStyle name="Normal 70 12" xfId="9371"/>
    <cellStyle name="Normal 70 13" xfId="9372"/>
    <cellStyle name="Normal 70 14" xfId="9373"/>
    <cellStyle name="Normal 70 15" xfId="9374"/>
    <cellStyle name="Normal 70 16" xfId="9375"/>
    <cellStyle name="Normal 70 17" xfId="9376"/>
    <cellStyle name="Normal 70 18" xfId="9377"/>
    <cellStyle name="Normal 70 19" xfId="9378"/>
    <cellStyle name="Normal 70 2" xfId="9379"/>
    <cellStyle name="Normal 70 20" xfId="9380"/>
    <cellStyle name="Normal 70 21" xfId="9381"/>
    <cellStyle name="Normal 70 3" xfId="9382"/>
    <cellStyle name="Normal 70 4" xfId="9383"/>
    <cellStyle name="Normal 70 5" xfId="9384"/>
    <cellStyle name="Normal 70 6" xfId="9385"/>
    <cellStyle name="Normal 70 7" xfId="9386"/>
    <cellStyle name="Normal 70 8" xfId="9387"/>
    <cellStyle name="Normal 70 9" xfId="9388"/>
    <cellStyle name="Normal 71" xfId="9389"/>
    <cellStyle name="Normal 71 10" xfId="9390"/>
    <cellStyle name="Normal 71 11" xfId="9391"/>
    <cellStyle name="Normal 71 12" xfId="9392"/>
    <cellStyle name="Normal 71 13" xfId="9393"/>
    <cellStyle name="Normal 71 14" xfId="9394"/>
    <cellStyle name="Normal 71 15" xfId="9395"/>
    <cellStyle name="Normal 71 16" xfId="9396"/>
    <cellStyle name="Normal 71 17" xfId="9397"/>
    <cellStyle name="Normal 71 18" xfId="9398"/>
    <cellStyle name="Normal 71 19" xfId="9399"/>
    <cellStyle name="Normal 71 2" xfId="9400"/>
    <cellStyle name="Normal 71 20" xfId="9401"/>
    <cellStyle name="Normal 71 21" xfId="9402"/>
    <cellStyle name="Normal 71 3" xfId="9403"/>
    <cellStyle name="Normal 71 4" xfId="9404"/>
    <cellStyle name="Normal 71 5" xfId="9405"/>
    <cellStyle name="Normal 71 6" xfId="9406"/>
    <cellStyle name="Normal 71 7" xfId="9407"/>
    <cellStyle name="Normal 71 8" xfId="9408"/>
    <cellStyle name="Normal 71 9" xfId="9409"/>
    <cellStyle name="Normal 72" xfId="9410"/>
    <cellStyle name="Normal 72 10" xfId="9411"/>
    <cellStyle name="Normal 72 11" xfId="9412"/>
    <cellStyle name="Normal 72 12" xfId="9413"/>
    <cellStyle name="Normal 72 13" xfId="9414"/>
    <cellStyle name="Normal 72 14" xfId="9415"/>
    <cellStyle name="Normal 72 15" xfId="9416"/>
    <cellStyle name="Normal 72 16" xfId="9417"/>
    <cellStyle name="Normal 72 17" xfId="9418"/>
    <cellStyle name="Normal 72 18" xfId="9419"/>
    <cellStyle name="Normal 72 19" xfId="9420"/>
    <cellStyle name="Normal 72 2" xfId="9421"/>
    <cellStyle name="Normal 72 20" xfId="9422"/>
    <cellStyle name="Normal 72 21" xfId="9423"/>
    <cellStyle name="Normal 72 3" xfId="9424"/>
    <cellStyle name="Normal 72 4" xfId="9425"/>
    <cellStyle name="Normal 72 5" xfId="9426"/>
    <cellStyle name="Normal 72 6" xfId="9427"/>
    <cellStyle name="Normal 72 7" xfId="9428"/>
    <cellStyle name="Normal 72 8" xfId="9429"/>
    <cellStyle name="Normal 72 9" xfId="9430"/>
    <cellStyle name="Normal 73" xfId="9431"/>
    <cellStyle name="Normal 73 10" xfId="9432"/>
    <cellStyle name="Normal 73 11" xfId="9433"/>
    <cellStyle name="Normal 73 12" xfId="9434"/>
    <cellStyle name="Normal 73 13" xfId="9435"/>
    <cellStyle name="Normal 73 14" xfId="9436"/>
    <cellStyle name="Normal 73 15" xfId="9437"/>
    <cellStyle name="Normal 73 16" xfId="9438"/>
    <cellStyle name="Normal 73 17" xfId="9439"/>
    <cellStyle name="Normal 73 18" xfId="9440"/>
    <cellStyle name="Normal 73 19" xfId="9441"/>
    <cellStyle name="Normal 73 2" xfId="9442"/>
    <cellStyle name="Normal 73 20" xfId="9443"/>
    <cellStyle name="Normal 73 21" xfId="9444"/>
    <cellStyle name="Normal 73 3" xfId="9445"/>
    <cellStyle name="Normal 73 4" xfId="9446"/>
    <cellStyle name="Normal 73 5" xfId="9447"/>
    <cellStyle name="Normal 73 6" xfId="9448"/>
    <cellStyle name="Normal 73 7" xfId="9449"/>
    <cellStyle name="Normal 73 8" xfId="9450"/>
    <cellStyle name="Normal 73 9" xfId="9451"/>
    <cellStyle name="Normal 74" xfId="9452"/>
    <cellStyle name="Normal 74 10" xfId="9453"/>
    <cellStyle name="Normal 74 11" xfId="9454"/>
    <cellStyle name="Normal 74 12" xfId="9455"/>
    <cellStyle name="Normal 74 13" xfId="9456"/>
    <cellStyle name="Normal 74 14" xfId="9457"/>
    <cellStyle name="Normal 74 15" xfId="9458"/>
    <cellStyle name="Normal 74 16" xfId="9459"/>
    <cellStyle name="Normal 74 17" xfId="9460"/>
    <cellStyle name="Normal 74 18" xfId="9461"/>
    <cellStyle name="Normal 74 19" xfId="9462"/>
    <cellStyle name="Normal 74 2" xfId="9463"/>
    <cellStyle name="Normal 74 20" xfId="9464"/>
    <cellStyle name="Normal 74 21" xfId="9465"/>
    <cellStyle name="Normal 74 3" xfId="9466"/>
    <cellStyle name="Normal 74 4" xfId="9467"/>
    <cellStyle name="Normal 74 5" xfId="9468"/>
    <cellStyle name="Normal 74 6" xfId="9469"/>
    <cellStyle name="Normal 74 7" xfId="9470"/>
    <cellStyle name="Normal 74 8" xfId="9471"/>
    <cellStyle name="Normal 74 9" xfId="9472"/>
    <cellStyle name="Normal 75" xfId="9473"/>
    <cellStyle name="Normal 75 10" xfId="9474"/>
    <cellStyle name="Normal 75 11" xfId="9475"/>
    <cellStyle name="Normal 75 12" xfId="9476"/>
    <cellStyle name="Normal 75 13" xfId="9477"/>
    <cellStyle name="Normal 75 14" xfId="9478"/>
    <cellStyle name="Normal 75 15" xfId="9479"/>
    <cellStyle name="Normal 75 16" xfId="9480"/>
    <cellStyle name="Normal 75 17" xfId="9481"/>
    <cellStyle name="Normal 75 18" xfId="9482"/>
    <cellStyle name="Normal 75 19" xfId="9483"/>
    <cellStyle name="Normal 75 2" xfId="9484"/>
    <cellStyle name="Normal 75 20" xfId="9485"/>
    <cellStyle name="Normal 75 21" xfId="9486"/>
    <cellStyle name="Normal 75 3" xfId="9487"/>
    <cellStyle name="Normal 75 4" xfId="9488"/>
    <cellStyle name="Normal 75 5" xfId="9489"/>
    <cellStyle name="Normal 75 6" xfId="9490"/>
    <cellStyle name="Normal 75 7" xfId="9491"/>
    <cellStyle name="Normal 75 8" xfId="9492"/>
    <cellStyle name="Normal 75 9" xfId="9493"/>
    <cellStyle name="Normal 76" xfId="9494"/>
    <cellStyle name="Normal 76 10" xfId="9495"/>
    <cellStyle name="Normal 76 11" xfId="9496"/>
    <cellStyle name="Normal 76 12" xfId="9497"/>
    <cellStyle name="Normal 76 13" xfId="9498"/>
    <cellStyle name="Normal 76 14" xfId="9499"/>
    <cellStyle name="Normal 76 15" xfId="9500"/>
    <cellStyle name="Normal 76 16" xfId="9501"/>
    <cellStyle name="Normal 76 17" xfId="9502"/>
    <cellStyle name="Normal 76 18" xfId="9503"/>
    <cellStyle name="Normal 76 19" xfId="9504"/>
    <cellStyle name="Normal 76 2" xfId="9505"/>
    <cellStyle name="Normal 76 20" xfId="9506"/>
    <cellStyle name="Normal 76 21" xfId="9507"/>
    <cellStyle name="Normal 76 3" xfId="9508"/>
    <cellStyle name="Normal 76 4" xfId="9509"/>
    <cellStyle name="Normal 76 5" xfId="9510"/>
    <cellStyle name="Normal 76 6" xfId="9511"/>
    <cellStyle name="Normal 76 7" xfId="9512"/>
    <cellStyle name="Normal 76 8" xfId="9513"/>
    <cellStyle name="Normal 76 9" xfId="9514"/>
    <cellStyle name="Normal 77" xfId="9515"/>
    <cellStyle name="Normal 77 10" xfId="9516"/>
    <cellStyle name="Normal 77 11" xfId="9517"/>
    <cellStyle name="Normal 77 12" xfId="9518"/>
    <cellStyle name="Normal 77 13" xfId="9519"/>
    <cellStyle name="Normal 77 14" xfId="9520"/>
    <cellStyle name="Normal 77 15" xfId="9521"/>
    <cellStyle name="Normal 77 16" xfId="9522"/>
    <cellStyle name="Normal 77 17" xfId="9523"/>
    <cellStyle name="Normal 77 18" xfId="9524"/>
    <cellStyle name="Normal 77 19" xfId="9525"/>
    <cellStyle name="Normal 77 2" xfId="9526"/>
    <cellStyle name="Normal 77 20" xfId="9527"/>
    <cellStyle name="Normal 77 21" xfId="9528"/>
    <cellStyle name="Normal 77 3" xfId="9529"/>
    <cellStyle name="Normal 77 4" xfId="9530"/>
    <cellStyle name="Normal 77 5" xfId="9531"/>
    <cellStyle name="Normal 77 6" xfId="9532"/>
    <cellStyle name="Normal 77 7" xfId="9533"/>
    <cellStyle name="Normal 77 8" xfId="9534"/>
    <cellStyle name="Normal 77 9" xfId="9535"/>
    <cellStyle name="Normal 78" xfId="9536"/>
    <cellStyle name="Normal 78 10" xfId="9537"/>
    <cellStyle name="Normal 78 11" xfId="9538"/>
    <cellStyle name="Normal 78 12" xfId="9539"/>
    <cellStyle name="Normal 78 13" xfId="9540"/>
    <cellStyle name="Normal 78 14" xfId="9541"/>
    <cellStyle name="Normal 78 15" xfId="9542"/>
    <cellStyle name="Normal 78 16" xfId="9543"/>
    <cellStyle name="Normal 78 17" xfId="9544"/>
    <cellStyle name="Normal 78 18" xfId="9545"/>
    <cellStyle name="Normal 78 19" xfId="9546"/>
    <cellStyle name="Normal 78 2" xfId="9547"/>
    <cellStyle name="Normal 78 20" xfId="9548"/>
    <cellStyle name="Normal 78 21" xfId="9549"/>
    <cellStyle name="Normal 78 3" xfId="9550"/>
    <cellStyle name="Normal 78 4" xfId="9551"/>
    <cellStyle name="Normal 78 5" xfId="9552"/>
    <cellStyle name="Normal 78 6" xfId="9553"/>
    <cellStyle name="Normal 78 7" xfId="9554"/>
    <cellStyle name="Normal 78 8" xfId="9555"/>
    <cellStyle name="Normal 78 9" xfId="9556"/>
    <cellStyle name="Normal 79" xfId="9557"/>
    <cellStyle name="Normal 79 10" xfId="9558"/>
    <cellStyle name="Normal 79 11" xfId="9559"/>
    <cellStyle name="Normal 79 12" xfId="9560"/>
    <cellStyle name="Normal 79 13" xfId="9561"/>
    <cellStyle name="Normal 79 14" xfId="9562"/>
    <cellStyle name="Normal 79 15" xfId="9563"/>
    <cellStyle name="Normal 79 16" xfId="9564"/>
    <cellStyle name="Normal 79 17" xfId="9565"/>
    <cellStyle name="Normal 79 18" xfId="9566"/>
    <cellStyle name="Normal 79 19" xfId="9567"/>
    <cellStyle name="Normal 79 2" xfId="9568"/>
    <cellStyle name="Normal 79 20" xfId="9569"/>
    <cellStyle name="Normal 79 21" xfId="9570"/>
    <cellStyle name="Normal 79 3" xfId="9571"/>
    <cellStyle name="Normal 79 4" xfId="9572"/>
    <cellStyle name="Normal 79 5" xfId="9573"/>
    <cellStyle name="Normal 79 6" xfId="9574"/>
    <cellStyle name="Normal 79 7" xfId="9575"/>
    <cellStyle name="Normal 79 8" xfId="9576"/>
    <cellStyle name="Normal 79 9" xfId="9577"/>
    <cellStyle name="Normal 8" xfId="9578"/>
    <cellStyle name="Normal 8 2" xfId="9579"/>
    <cellStyle name="Normal 8 2 2" xfId="9580"/>
    <cellStyle name="Normal 8 2 3" xfId="9581"/>
    <cellStyle name="Normal 80" xfId="9582"/>
    <cellStyle name="Normal 80 10" xfId="9583"/>
    <cellStyle name="Normal 80 11" xfId="9584"/>
    <cellStyle name="Normal 80 12" xfId="9585"/>
    <cellStyle name="Normal 80 13" xfId="9586"/>
    <cellStyle name="Normal 80 14" xfId="9587"/>
    <cellStyle name="Normal 80 15" xfId="9588"/>
    <cellStyle name="Normal 80 16" xfId="9589"/>
    <cellStyle name="Normal 80 17" xfId="9590"/>
    <cellStyle name="Normal 80 18" xfId="9591"/>
    <cellStyle name="Normal 80 19" xfId="9592"/>
    <cellStyle name="Normal 80 2" xfId="9593"/>
    <cellStyle name="Normal 80 20" xfId="9594"/>
    <cellStyle name="Normal 80 21" xfId="9595"/>
    <cellStyle name="Normal 80 3" xfId="9596"/>
    <cellStyle name="Normal 80 4" xfId="9597"/>
    <cellStyle name="Normal 80 5" xfId="9598"/>
    <cellStyle name="Normal 80 6" xfId="9599"/>
    <cellStyle name="Normal 80 7" xfId="9600"/>
    <cellStyle name="Normal 80 8" xfId="9601"/>
    <cellStyle name="Normal 80 9" xfId="9602"/>
    <cellStyle name="Normal 81" xfId="9603"/>
    <cellStyle name="Normal 81 10" xfId="9604"/>
    <cellStyle name="Normal 81 11" xfId="9605"/>
    <cellStyle name="Normal 81 12" xfId="9606"/>
    <cellStyle name="Normal 81 13" xfId="9607"/>
    <cellStyle name="Normal 81 14" xfId="9608"/>
    <cellStyle name="Normal 81 15" xfId="9609"/>
    <cellStyle name="Normal 81 16" xfId="9610"/>
    <cellStyle name="Normal 81 17" xfId="9611"/>
    <cellStyle name="Normal 81 18" xfId="9612"/>
    <cellStyle name="Normal 81 19" xfId="9613"/>
    <cellStyle name="Normal 81 2" xfId="9614"/>
    <cellStyle name="Normal 81 20" xfId="9615"/>
    <cellStyle name="Normal 81 21" xfId="9616"/>
    <cellStyle name="Normal 81 3" xfId="9617"/>
    <cellStyle name="Normal 81 4" xfId="9618"/>
    <cellStyle name="Normal 81 5" xfId="9619"/>
    <cellStyle name="Normal 81 6" xfId="9620"/>
    <cellStyle name="Normal 81 7" xfId="9621"/>
    <cellStyle name="Normal 81 8" xfId="9622"/>
    <cellStyle name="Normal 81 9" xfId="9623"/>
    <cellStyle name="Normal 82" xfId="9624"/>
    <cellStyle name="Normal 82 10" xfId="9625"/>
    <cellStyle name="Normal 82 11" xfId="9626"/>
    <cellStyle name="Normal 82 12" xfId="9627"/>
    <cellStyle name="Normal 82 13" xfId="9628"/>
    <cellStyle name="Normal 82 14" xfId="9629"/>
    <cellStyle name="Normal 82 15" xfId="9630"/>
    <cellStyle name="Normal 82 16" xfId="9631"/>
    <cellStyle name="Normal 82 17" xfId="9632"/>
    <cellStyle name="Normal 82 18" xfId="9633"/>
    <cellStyle name="Normal 82 19" xfId="9634"/>
    <cellStyle name="Normal 82 2" xfId="9635"/>
    <cellStyle name="Normal 82 20" xfId="9636"/>
    <cellStyle name="Normal 82 21" xfId="9637"/>
    <cellStyle name="Normal 82 3" xfId="9638"/>
    <cellStyle name="Normal 82 4" xfId="9639"/>
    <cellStyle name="Normal 82 5" xfId="9640"/>
    <cellStyle name="Normal 82 6" xfId="9641"/>
    <cellStyle name="Normal 82 7" xfId="9642"/>
    <cellStyle name="Normal 82 8" xfId="9643"/>
    <cellStyle name="Normal 82 9" xfId="9644"/>
    <cellStyle name="Normal 83" xfId="9645"/>
    <cellStyle name="Normal 83 10" xfId="9646"/>
    <cellStyle name="Normal 83 11" xfId="9647"/>
    <cellStyle name="Normal 83 12" xfId="9648"/>
    <cellStyle name="Normal 83 13" xfId="9649"/>
    <cellStyle name="Normal 83 14" xfId="9650"/>
    <cellStyle name="Normal 83 15" xfId="9651"/>
    <cellStyle name="Normal 83 16" xfId="9652"/>
    <cellStyle name="Normal 83 17" xfId="9653"/>
    <cellStyle name="Normal 83 18" xfId="9654"/>
    <cellStyle name="Normal 83 19" xfId="9655"/>
    <cellStyle name="Normal 83 2" xfId="9656"/>
    <cellStyle name="Normal 83 20" xfId="9657"/>
    <cellStyle name="Normal 83 21" xfId="9658"/>
    <cellStyle name="Normal 83 3" xfId="9659"/>
    <cellStyle name="Normal 83 4" xfId="9660"/>
    <cellStyle name="Normal 83 5" xfId="9661"/>
    <cellStyle name="Normal 83 6" xfId="9662"/>
    <cellStyle name="Normal 83 7" xfId="9663"/>
    <cellStyle name="Normal 83 8" xfId="9664"/>
    <cellStyle name="Normal 83 9" xfId="9665"/>
    <cellStyle name="Normal 84" xfId="9666"/>
    <cellStyle name="Normal 84 10" xfId="9667"/>
    <cellStyle name="Normal 84 11" xfId="9668"/>
    <cellStyle name="Normal 84 12" xfId="9669"/>
    <cellStyle name="Normal 84 13" xfId="9670"/>
    <cellStyle name="Normal 84 14" xfId="9671"/>
    <cellStyle name="Normal 84 15" xfId="9672"/>
    <cellStyle name="Normal 84 16" xfId="9673"/>
    <cellStyle name="Normal 84 17" xfId="9674"/>
    <cellStyle name="Normal 84 18" xfId="9675"/>
    <cellStyle name="Normal 84 19" xfId="9676"/>
    <cellStyle name="Normal 84 2" xfId="9677"/>
    <cellStyle name="Normal 84 20" xfId="9678"/>
    <cellStyle name="Normal 84 21" xfId="9679"/>
    <cellStyle name="Normal 84 3" xfId="9680"/>
    <cellStyle name="Normal 84 4" xfId="9681"/>
    <cellStyle name="Normal 84 5" xfId="9682"/>
    <cellStyle name="Normal 84 6" xfId="9683"/>
    <cellStyle name="Normal 84 7" xfId="9684"/>
    <cellStyle name="Normal 84 8" xfId="9685"/>
    <cellStyle name="Normal 84 9" xfId="9686"/>
    <cellStyle name="Normal 85" xfId="9687"/>
    <cellStyle name="Normal 85 10" xfId="9688"/>
    <cellStyle name="Normal 85 11" xfId="9689"/>
    <cellStyle name="Normal 85 12" xfId="9690"/>
    <cellStyle name="Normal 85 13" xfId="9691"/>
    <cellStyle name="Normal 85 14" xfId="9692"/>
    <cellStyle name="Normal 85 15" xfId="9693"/>
    <cellStyle name="Normal 85 16" xfId="9694"/>
    <cellStyle name="Normal 85 17" xfId="9695"/>
    <cellStyle name="Normal 85 18" xfId="9696"/>
    <cellStyle name="Normal 85 19" xfId="9697"/>
    <cellStyle name="Normal 85 2" xfId="9698"/>
    <cellStyle name="Normal 85 20" xfId="9699"/>
    <cellStyle name="Normal 85 21" xfId="9700"/>
    <cellStyle name="Normal 85 3" xfId="9701"/>
    <cellStyle name="Normal 85 4" xfId="9702"/>
    <cellStyle name="Normal 85 5" xfId="9703"/>
    <cellStyle name="Normal 85 6" xfId="9704"/>
    <cellStyle name="Normal 85 7" xfId="9705"/>
    <cellStyle name="Normal 85 8" xfId="9706"/>
    <cellStyle name="Normal 85 9" xfId="9707"/>
    <cellStyle name="Normal 86" xfId="9708"/>
    <cellStyle name="Normal 86 10" xfId="9709"/>
    <cellStyle name="Normal 86 11" xfId="9710"/>
    <cellStyle name="Normal 86 12" xfId="9711"/>
    <cellStyle name="Normal 86 13" xfId="9712"/>
    <cellStyle name="Normal 86 14" xfId="9713"/>
    <cellStyle name="Normal 86 15" xfId="9714"/>
    <cellStyle name="Normal 86 16" xfId="9715"/>
    <cellStyle name="Normal 86 17" xfId="9716"/>
    <cellStyle name="Normal 86 18" xfId="9717"/>
    <cellStyle name="Normal 86 19" xfId="9718"/>
    <cellStyle name="Normal 86 2" xfId="9719"/>
    <cellStyle name="Normal 86 20" xfId="9720"/>
    <cellStyle name="Normal 86 21" xfId="9721"/>
    <cellStyle name="Normal 86 3" xfId="9722"/>
    <cellStyle name="Normal 86 4" xfId="9723"/>
    <cellStyle name="Normal 86 5" xfId="9724"/>
    <cellStyle name="Normal 86 6" xfId="9725"/>
    <cellStyle name="Normal 86 7" xfId="9726"/>
    <cellStyle name="Normal 86 8" xfId="9727"/>
    <cellStyle name="Normal 86 9" xfId="9728"/>
    <cellStyle name="Normal 87" xfId="9729"/>
    <cellStyle name="Normal 87 10" xfId="9730"/>
    <cellStyle name="Normal 87 11" xfId="9731"/>
    <cellStyle name="Normal 87 12" xfId="9732"/>
    <cellStyle name="Normal 87 13" xfId="9733"/>
    <cellStyle name="Normal 87 14" xfId="9734"/>
    <cellStyle name="Normal 87 15" xfId="9735"/>
    <cellStyle name="Normal 87 16" xfId="9736"/>
    <cellStyle name="Normal 87 17" xfId="9737"/>
    <cellStyle name="Normal 87 18" xfId="9738"/>
    <cellStyle name="Normal 87 19" xfId="9739"/>
    <cellStyle name="Normal 87 2" xfId="9740"/>
    <cellStyle name="Normal 87 20" xfId="9741"/>
    <cellStyle name="Normal 87 21" xfId="9742"/>
    <cellStyle name="Normal 87 3" xfId="9743"/>
    <cellStyle name="Normal 87 4" xfId="9744"/>
    <cellStyle name="Normal 87 5" xfId="9745"/>
    <cellStyle name="Normal 87 6" xfId="9746"/>
    <cellStyle name="Normal 87 7" xfId="9747"/>
    <cellStyle name="Normal 87 8" xfId="9748"/>
    <cellStyle name="Normal 87 9" xfId="9749"/>
    <cellStyle name="Normal 88" xfId="9750"/>
    <cellStyle name="Normal 88 10" xfId="9751"/>
    <cellStyle name="Normal 88 11" xfId="9752"/>
    <cellStyle name="Normal 88 12" xfId="9753"/>
    <cellStyle name="Normal 88 13" xfId="9754"/>
    <cellStyle name="Normal 88 14" xfId="9755"/>
    <cellStyle name="Normal 88 15" xfId="9756"/>
    <cellStyle name="Normal 88 16" xfId="9757"/>
    <cellStyle name="Normal 88 17" xfId="9758"/>
    <cellStyle name="Normal 88 18" xfId="9759"/>
    <cellStyle name="Normal 88 19" xfId="9760"/>
    <cellStyle name="Normal 88 2" xfId="9761"/>
    <cellStyle name="Normal 88 20" xfId="9762"/>
    <cellStyle name="Normal 88 21" xfId="9763"/>
    <cellStyle name="Normal 88 3" xfId="9764"/>
    <cellStyle name="Normal 88 4" xfId="9765"/>
    <cellStyle name="Normal 88 5" xfId="9766"/>
    <cellStyle name="Normal 88 6" xfId="9767"/>
    <cellStyle name="Normal 88 7" xfId="9768"/>
    <cellStyle name="Normal 88 8" xfId="9769"/>
    <cellStyle name="Normal 88 9" xfId="9770"/>
    <cellStyle name="Normal 89" xfId="9771"/>
    <cellStyle name="Normal 89 10" xfId="9772"/>
    <cellStyle name="Normal 89 11" xfId="9773"/>
    <cellStyle name="Normal 89 12" xfId="9774"/>
    <cellStyle name="Normal 89 13" xfId="9775"/>
    <cellStyle name="Normal 89 14" xfId="9776"/>
    <cellStyle name="Normal 89 15" xfId="9777"/>
    <cellStyle name="Normal 89 16" xfId="9778"/>
    <cellStyle name="Normal 89 17" xfId="9779"/>
    <cellStyle name="Normal 89 18" xfId="9780"/>
    <cellStyle name="Normal 89 19" xfId="9781"/>
    <cellStyle name="Normal 89 2" xfId="9782"/>
    <cellStyle name="Normal 89 20" xfId="9783"/>
    <cellStyle name="Normal 89 21" xfId="9784"/>
    <cellStyle name="Normal 89 3" xfId="9785"/>
    <cellStyle name="Normal 89 4" xfId="9786"/>
    <cellStyle name="Normal 89 5" xfId="9787"/>
    <cellStyle name="Normal 89 6" xfId="9788"/>
    <cellStyle name="Normal 89 7" xfId="9789"/>
    <cellStyle name="Normal 89 8" xfId="9790"/>
    <cellStyle name="Normal 89 9" xfId="9791"/>
    <cellStyle name="Normal 9" xfId="9792"/>
    <cellStyle name="Normal 9 2" xfId="9793"/>
    <cellStyle name="Normal 9 2 2" xfId="9794"/>
    <cellStyle name="Normal 90" xfId="9795"/>
    <cellStyle name="Normal 90 10" xfId="9796"/>
    <cellStyle name="Normal 90 11" xfId="9797"/>
    <cellStyle name="Normal 90 12" xfId="9798"/>
    <cellStyle name="Normal 90 13" xfId="9799"/>
    <cellStyle name="Normal 90 14" xfId="9800"/>
    <cellStyle name="Normal 90 15" xfId="9801"/>
    <cellStyle name="Normal 90 16" xfId="9802"/>
    <cellStyle name="Normal 90 17" xfId="9803"/>
    <cellStyle name="Normal 90 18" xfId="9804"/>
    <cellStyle name="Normal 90 19" xfId="9805"/>
    <cellStyle name="Normal 90 2" xfId="9806"/>
    <cellStyle name="Normal 90 20" xfId="9807"/>
    <cellStyle name="Normal 90 21" xfId="9808"/>
    <cellStyle name="Normal 90 3" xfId="9809"/>
    <cellStyle name="Normal 90 4" xfId="9810"/>
    <cellStyle name="Normal 90 5" xfId="9811"/>
    <cellStyle name="Normal 90 6" xfId="9812"/>
    <cellStyle name="Normal 90 7" xfId="9813"/>
    <cellStyle name="Normal 90 8" xfId="9814"/>
    <cellStyle name="Normal 90 9" xfId="9815"/>
    <cellStyle name="Normal 91" xfId="9816"/>
    <cellStyle name="Normal 91 10" xfId="9817"/>
    <cellStyle name="Normal 91 11" xfId="9818"/>
    <cellStyle name="Normal 91 12" xfId="9819"/>
    <cellStyle name="Normal 91 13" xfId="9820"/>
    <cellStyle name="Normal 91 14" xfId="9821"/>
    <cellStyle name="Normal 91 15" xfId="9822"/>
    <cellStyle name="Normal 91 16" xfId="9823"/>
    <cellStyle name="Normal 91 17" xfId="9824"/>
    <cellStyle name="Normal 91 18" xfId="9825"/>
    <cellStyle name="Normal 91 19" xfId="9826"/>
    <cellStyle name="Normal 91 2" xfId="9827"/>
    <cellStyle name="Normal 91 20" xfId="9828"/>
    <cellStyle name="Normal 91 21" xfId="9829"/>
    <cellStyle name="Normal 91 3" xfId="9830"/>
    <cellStyle name="Normal 91 4" xfId="9831"/>
    <cellStyle name="Normal 91 5" xfId="9832"/>
    <cellStyle name="Normal 91 6" xfId="9833"/>
    <cellStyle name="Normal 91 7" xfId="9834"/>
    <cellStyle name="Normal 91 8" xfId="9835"/>
    <cellStyle name="Normal 91 9" xfId="9836"/>
    <cellStyle name="Normal 92" xfId="9837"/>
    <cellStyle name="Normal 92 10" xfId="9838"/>
    <cellStyle name="Normal 92 11" xfId="9839"/>
    <cellStyle name="Normal 92 12" xfId="9840"/>
    <cellStyle name="Normal 92 13" xfId="9841"/>
    <cellStyle name="Normal 92 14" xfId="9842"/>
    <cellStyle name="Normal 92 15" xfId="9843"/>
    <cellStyle name="Normal 92 16" xfId="9844"/>
    <cellStyle name="Normal 92 17" xfId="9845"/>
    <cellStyle name="Normal 92 18" xfId="9846"/>
    <cellStyle name="Normal 92 19" xfId="9847"/>
    <cellStyle name="Normal 92 2" xfId="9848"/>
    <cellStyle name="Normal 92 20" xfId="9849"/>
    <cellStyle name="Normal 92 21" xfId="9850"/>
    <cellStyle name="Normal 92 3" xfId="9851"/>
    <cellStyle name="Normal 92 4" xfId="9852"/>
    <cellStyle name="Normal 92 5" xfId="9853"/>
    <cellStyle name="Normal 92 6" xfId="9854"/>
    <cellStyle name="Normal 92 7" xfId="9855"/>
    <cellStyle name="Normal 92 8" xfId="9856"/>
    <cellStyle name="Normal 92 9" xfId="9857"/>
    <cellStyle name="Normal 93" xfId="9858"/>
    <cellStyle name="Normal 93 10" xfId="9859"/>
    <cellStyle name="Normal 93 11" xfId="9860"/>
    <cellStyle name="Normal 93 12" xfId="9861"/>
    <cellStyle name="Normal 93 13" xfId="9862"/>
    <cellStyle name="Normal 93 14" xfId="9863"/>
    <cellStyle name="Normal 93 15" xfId="9864"/>
    <cellStyle name="Normal 93 16" xfId="9865"/>
    <cellStyle name="Normal 93 17" xfId="9866"/>
    <cellStyle name="Normal 93 18" xfId="9867"/>
    <cellStyle name="Normal 93 19" xfId="9868"/>
    <cellStyle name="Normal 93 2" xfId="9869"/>
    <cellStyle name="Normal 93 20" xfId="9870"/>
    <cellStyle name="Normal 93 21" xfId="9871"/>
    <cellStyle name="Normal 93 3" xfId="9872"/>
    <cellStyle name="Normal 93 4" xfId="9873"/>
    <cellStyle name="Normal 93 5" xfId="9874"/>
    <cellStyle name="Normal 93 6" xfId="9875"/>
    <cellStyle name="Normal 93 7" xfId="9876"/>
    <cellStyle name="Normal 93 8" xfId="9877"/>
    <cellStyle name="Normal 93 9" xfId="9878"/>
    <cellStyle name="Normal 94" xfId="9879"/>
    <cellStyle name="Normal 94 10" xfId="9880"/>
    <cellStyle name="Normal 94 11" xfId="9881"/>
    <cellStyle name="Normal 94 12" xfId="9882"/>
    <cellStyle name="Normal 94 13" xfId="9883"/>
    <cellStyle name="Normal 94 14" xfId="9884"/>
    <cellStyle name="Normal 94 15" xfId="9885"/>
    <cellStyle name="Normal 94 16" xfId="9886"/>
    <cellStyle name="Normal 94 17" xfId="9887"/>
    <cellStyle name="Normal 94 18" xfId="9888"/>
    <cellStyle name="Normal 94 19" xfId="9889"/>
    <cellStyle name="Normal 94 2" xfId="9890"/>
    <cellStyle name="Normal 94 20" xfId="9891"/>
    <cellStyle name="Normal 94 21" xfId="9892"/>
    <cellStyle name="Normal 94 3" xfId="9893"/>
    <cellStyle name="Normal 94 4" xfId="9894"/>
    <cellStyle name="Normal 94 5" xfId="9895"/>
    <cellStyle name="Normal 94 6" xfId="9896"/>
    <cellStyle name="Normal 94 7" xfId="9897"/>
    <cellStyle name="Normal 94 8" xfId="9898"/>
    <cellStyle name="Normal 94 9" xfId="9899"/>
    <cellStyle name="Normal 95" xfId="9900"/>
    <cellStyle name="Normal 95 10" xfId="9901"/>
    <cellStyle name="Normal 95 11" xfId="9902"/>
    <cellStyle name="Normal 95 12" xfId="9903"/>
    <cellStyle name="Normal 95 13" xfId="9904"/>
    <cellStyle name="Normal 95 14" xfId="9905"/>
    <cellStyle name="Normal 95 15" xfId="9906"/>
    <cellStyle name="Normal 95 16" xfId="9907"/>
    <cellStyle name="Normal 95 17" xfId="9908"/>
    <cellStyle name="Normal 95 18" xfId="9909"/>
    <cellStyle name="Normal 95 19" xfId="9910"/>
    <cellStyle name="Normal 95 2" xfId="9911"/>
    <cellStyle name="Normal 95 20" xfId="9912"/>
    <cellStyle name="Normal 95 21" xfId="9913"/>
    <cellStyle name="Normal 95 3" xfId="9914"/>
    <cellStyle name="Normal 95 4" xfId="9915"/>
    <cellStyle name="Normal 95 5" xfId="9916"/>
    <cellStyle name="Normal 95 6" xfId="9917"/>
    <cellStyle name="Normal 95 7" xfId="9918"/>
    <cellStyle name="Normal 95 8" xfId="9919"/>
    <cellStyle name="Normal 95 9" xfId="9920"/>
    <cellStyle name="Normal 96" xfId="9921"/>
    <cellStyle name="Normal 97" xfId="9922"/>
    <cellStyle name="Normal 98" xfId="9923"/>
    <cellStyle name="Normal 99" xfId="11125"/>
    <cellStyle name="Normal_View1_Crosstab" xfId="11129"/>
    <cellStyle name="Note 10" xfId="9924"/>
    <cellStyle name="Note 10 2" xfId="9925"/>
    <cellStyle name="Note 100" xfId="9926"/>
    <cellStyle name="Note 101" xfId="9927"/>
    <cellStyle name="Note 102" xfId="9928"/>
    <cellStyle name="Note 103" xfId="9929"/>
    <cellStyle name="Note 104" xfId="9930"/>
    <cellStyle name="Note 105" xfId="9931"/>
    <cellStyle name="Note 106" xfId="9932"/>
    <cellStyle name="Note 107" xfId="9933"/>
    <cellStyle name="Note 108" xfId="9934"/>
    <cellStyle name="Note 109" xfId="9935"/>
    <cellStyle name="Note 11" xfId="9936"/>
    <cellStyle name="Note 11 2" xfId="9937"/>
    <cellStyle name="Note 110" xfId="9938"/>
    <cellStyle name="Note 111" xfId="9939"/>
    <cellStyle name="Note 112" xfId="9940"/>
    <cellStyle name="Note 113" xfId="9941"/>
    <cellStyle name="Note 114" xfId="9942"/>
    <cellStyle name="Note 115" xfId="9943"/>
    <cellStyle name="Note 116" xfId="9944"/>
    <cellStyle name="Note 117" xfId="9945"/>
    <cellStyle name="Note 118" xfId="9946"/>
    <cellStyle name="Note 119" xfId="9947"/>
    <cellStyle name="Note 12" xfId="9948"/>
    <cellStyle name="Note 12 2" xfId="9949"/>
    <cellStyle name="Note 120" xfId="9950"/>
    <cellStyle name="Note 121" xfId="9951"/>
    <cellStyle name="Note 122" xfId="9952"/>
    <cellStyle name="Note 123" xfId="9953"/>
    <cellStyle name="Note 124" xfId="9954"/>
    <cellStyle name="Note 125" xfId="9955"/>
    <cellStyle name="Note 126" xfId="9956"/>
    <cellStyle name="Note 127" xfId="9957"/>
    <cellStyle name="Note 128" xfId="9958"/>
    <cellStyle name="Note 129" xfId="9959"/>
    <cellStyle name="Note 13" xfId="9960"/>
    <cellStyle name="Note 13 2" xfId="9961"/>
    <cellStyle name="Note 130" xfId="9962"/>
    <cellStyle name="Note 131" xfId="9963"/>
    <cellStyle name="Note 132" xfId="9964"/>
    <cellStyle name="Note 133" xfId="9965"/>
    <cellStyle name="Note 134" xfId="9966"/>
    <cellStyle name="Note 135" xfId="9967"/>
    <cellStyle name="Note 136" xfId="9968"/>
    <cellStyle name="Note 137" xfId="9969"/>
    <cellStyle name="Note 138" xfId="9970"/>
    <cellStyle name="Note 139" xfId="9971"/>
    <cellStyle name="Note 14" xfId="9972"/>
    <cellStyle name="Note 14 2" xfId="9973"/>
    <cellStyle name="Note 140" xfId="9974"/>
    <cellStyle name="Note 141" xfId="9975"/>
    <cellStyle name="Note 142" xfId="9976"/>
    <cellStyle name="Note 143" xfId="9977"/>
    <cellStyle name="Note 144" xfId="9978"/>
    <cellStyle name="Note 145" xfId="9979"/>
    <cellStyle name="Note 146" xfId="9980"/>
    <cellStyle name="Note 147" xfId="9981"/>
    <cellStyle name="Note 148" xfId="9982"/>
    <cellStyle name="Note 149" xfId="9983"/>
    <cellStyle name="Note 15" xfId="9984"/>
    <cellStyle name="Note 15 2" xfId="9985"/>
    <cellStyle name="Note 150" xfId="9986"/>
    <cellStyle name="Note 151" xfId="9987"/>
    <cellStyle name="Note 152" xfId="9988"/>
    <cellStyle name="Note 153" xfId="9989"/>
    <cellStyle name="Note 154" xfId="9990"/>
    <cellStyle name="Note 155" xfId="9991"/>
    <cellStyle name="Note 156" xfId="9992"/>
    <cellStyle name="Note 157" xfId="9993"/>
    <cellStyle name="Note 158" xfId="9994"/>
    <cellStyle name="Note 159" xfId="9995"/>
    <cellStyle name="Note 16" xfId="9996"/>
    <cellStyle name="Note 16 2" xfId="9997"/>
    <cellStyle name="Note 160" xfId="9998"/>
    <cellStyle name="Note 161" xfId="9999"/>
    <cellStyle name="Note 162" xfId="10000"/>
    <cellStyle name="Note 163" xfId="10001"/>
    <cellStyle name="Note 164" xfId="10002"/>
    <cellStyle name="Note 165" xfId="10003"/>
    <cellStyle name="Note 166" xfId="10004"/>
    <cellStyle name="Note 167" xfId="10005"/>
    <cellStyle name="Note 168" xfId="10006"/>
    <cellStyle name="Note 169" xfId="10007"/>
    <cellStyle name="Note 17" xfId="10008"/>
    <cellStyle name="Note 17 2" xfId="10009"/>
    <cellStyle name="Note 170" xfId="10010"/>
    <cellStyle name="Note 171" xfId="10011"/>
    <cellStyle name="Note 172" xfId="10012"/>
    <cellStyle name="Note 173" xfId="10013"/>
    <cellStyle name="Note 174" xfId="10014"/>
    <cellStyle name="Note 175" xfId="10015"/>
    <cellStyle name="Note 176" xfId="10016"/>
    <cellStyle name="Note 176 2" xfId="10017"/>
    <cellStyle name="Note 177" xfId="10018"/>
    <cellStyle name="Note 177 2" xfId="10019"/>
    <cellStyle name="Note 178" xfId="10020"/>
    <cellStyle name="Note 178 2" xfId="10021"/>
    <cellStyle name="Note 179" xfId="10022"/>
    <cellStyle name="Note 179 2" xfId="10023"/>
    <cellStyle name="Note 18" xfId="10024"/>
    <cellStyle name="Note 18 2" xfId="10025"/>
    <cellStyle name="Note 180" xfId="10026"/>
    <cellStyle name="Note 180 2" xfId="10027"/>
    <cellStyle name="Note 181" xfId="10028"/>
    <cellStyle name="Note 181 2" xfId="10029"/>
    <cellStyle name="Note 182" xfId="10030"/>
    <cellStyle name="Note 182 2" xfId="10031"/>
    <cellStyle name="Note 183" xfId="10032"/>
    <cellStyle name="Note 183 2" xfId="10033"/>
    <cellStyle name="Note 184" xfId="10034"/>
    <cellStyle name="Note 184 2" xfId="10035"/>
    <cellStyle name="Note 185" xfId="10036"/>
    <cellStyle name="Note 185 2" xfId="10037"/>
    <cellStyle name="Note 186" xfId="10038"/>
    <cellStyle name="Note 186 2" xfId="10039"/>
    <cellStyle name="Note 187" xfId="10040"/>
    <cellStyle name="Note 187 2" xfId="10041"/>
    <cellStyle name="Note 188" xfId="10042"/>
    <cellStyle name="Note 188 2" xfId="10043"/>
    <cellStyle name="Note 189" xfId="10044"/>
    <cellStyle name="Note 189 2" xfId="10045"/>
    <cellStyle name="Note 19" xfId="10046"/>
    <cellStyle name="Note 19 2" xfId="10047"/>
    <cellStyle name="Note 190" xfId="10048"/>
    <cellStyle name="Note 190 2" xfId="10049"/>
    <cellStyle name="Note 191" xfId="10050"/>
    <cellStyle name="Note 191 2" xfId="10051"/>
    <cellStyle name="Note 192" xfId="10052"/>
    <cellStyle name="Note 192 2" xfId="10053"/>
    <cellStyle name="Note 193" xfId="10054"/>
    <cellStyle name="Note 193 2" xfId="10055"/>
    <cellStyle name="Note 194" xfId="10056"/>
    <cellStyle name="Note 194 2" xfId="10057"/>
    <cellStyle name="Note 195" xfId="10058"/>
    <cellStyle name="Note 195 2" xfId="10059"/>
    <cellStyle name="Note 196" xfId="10060"/>
    <cellStyle name="Note 196 2" xfId="10061"/>
    <cellStyle name="Note 197" xfId="10062"/>
    <cellStyle name="Note 197 2" xfId="10063"/>
    <cellStyle name="Note 198" xfId="10064"/>
    <cellStyle name="Note 198 2" xfId="10065"/>
    <cellStyle name="Note 199" xfId="10066"/>
    <cellStyle name="Note 199 2" xfId="10067"/>
    <cellStyle name="Note 2" xfId="10068"/>
    <cellStyle name="Note 2 2" xfId="10069"/>
    <cellStyle name="Note 2 3" xfId="10070"/>
    <cellStyle name="Note 20" xfId="10071"/>
    <cellStyle name="Note 20 2" xfId="10072"/>
    <cellStyle name="Note 200" xfId="10073"/>
    <cellStyle name="Note 200 2" xfId="10074"/>
    <cellStyle name="Note 201" xfId="10075"/>
    <cellStyle name="Note 201 2" xfId="10076"/>
    <cellStyle name="Note 202" xfId="10077"/>
    <cellStyle name="Note 202 2" xfId="10078"/>
    <cellStyle name="Note 203" xfId="10079"/>
    <cellStyle name="Note 203 2" xfId="10080"/>
    <cellStyle name="Note 204" xfId="10081"/>
    <cellStyle name="Note 204 2" xfId="10082"/>
    <cellStyle name="Note 205" xfId="10083"/>
    <cellStyle name="Note 205 2" xfId="10084"/>
    <cellStyle name="Note 206" xfId="10085"/>
    <cellStyle name="Note 206 2" xfId="10086"/>
    <cellStyle name="Note 207" xfId="10087"/>
    <cellStyle name="Note 207 2" xfId="10088"/>
    <cellStyle name="Note 208" xfId="10089"/>
    <cellStyle name="Note 208 2" xfId="10090"/>
    <cellStyle name="Note 209" xfId="10091"/>
    <cellStyle name="Note 209 2" xfId="10092"/>
    <cellStyle name="Note 21" xfId="10093"/>
    <cellStyle name="Note 21 2" xfId="10094"/>
    <cellStyle name="Note 210" xfId="10095"/>
    <cellStyle name="Note 210 2" xfId="10096"/>
    <cellStyle name="Note 211" xfId="10097"/>
    <cellStyle name="Note 211 2" xfId="10098"/>
    <cellStyle name="Note 212" xfId="10099"/>
    <cellStyle name="Note 212 2" xfId="10100"/>
    <cellStyle name="Note 213" xfId="10101"/>
    <cellStyle name="Note 213 2" xfId="10102"/>
    <cellStyle name="Note 214" xfId="10103"/>
    <cellStyle name="Note 214 2" xfId="10104"/>
    <cellStyle name="Note 215" xfId="10105"/>
    <cellStyle name="Note 215 2" xfId="10106"/>
    <cellStyle name="Note 216" xfId="10107"/>
    <cellStyle name="Note 216 2" xfId="10108"/>
    <cellStyle name="Note 217" xfId="10109"/>
    <cellStyle name="Note 217 2" xfId="10110"/>
    <cellStyle name="Note 218" xfId="10111"/>
    <cellStyle name="Note 218 2" xfId="10112"/>
    <cellStyle name="Note 219" xfId="10113"/>
    <cellStyle name="Note 219 2" xfId="10114"/>
    <cellStyle name="Note 22" xfId="10115"/>
    <cellStyle name="Note 22 2" xfId="10116"/>
    <cellStyle name="Note 220" xfId="10117"/>
    <cellStyle name="Note 220 2" xfId="10118"/>
    <cellStyle name="Note 221" xfId="10119"/>
    <cellStyle name="Note 221 2" xfId="10120"/>
    <cellStyle name="Note 222" xfId="10121"/>
    <cellStyle name="Note 222 2" xfId="10122"/>
    <cellStyle name="Note 223" xfId="10123"/>
    <cellStyle name="Note 223 2" xfId="10124"/>
    <cellStyle name="Note 224" xfId="10125"/>
    <cellStyle name="Note 224 2" xfId="10126"/>
    <cellStyle name="Note 225" xfId="10127"/>
    <cellStyle name="Note 225 2" xfId="10128"/>
    <cellStyle name="Note 226" xfId="10129"/>
    <cellStyle name="Note 226 2" xfId="10130"/>
    <cellStyle name="Note 227" xfId="10131"/>
    <cellStyle name="Note 227 2" xfId="10132"/>
    <cellStyle name="Note 228" xfId="10133"/>
    <cellStyle name="Note 228 2" xfId="10134"/>
    <cellStyle name="Note 229" xfId="10135"/>
    <cellStyle name="Note 229 2" xfId="10136"/>
    <cellStyle name="Note 23" xfId="10137"/>
    <cellStyle name="Note 23 2" xfId="10138"/>
    <cellStyle name="Note 230" xfId="10139"/>
    <cellStyle name="Note 230 2" xfId="10140"/>
    <cellStyle name="Note 231" xfId="10141"/>
    <cellStyle name="Note 231 2" xfId="10142"/>
    <cellStyle name="Note 232" xfId="10143"/>
    <cellStyle name="Note 232 2" xfId="10144"/>
    <cellStyle name="Note 233" xfId="10145"/>
    <cellStyle name="Note 233 2" xfId="10146"/>
    <cellStyle name="Note 234" xfId="10147"/>
    <cellStyle name="Note 234 2" xfId="10148"/>
    <cellStyle name="Note 235" xfId="10149"/>
    <cellStyle name="Note 235 2" xfId="10150"/>
    <cellStyle name="Note 236" xfId="10151"/>
    <cellStyle name="Note 24" xfId="10152"/>
    <cellStyle name="Note 24 2" xfId="10153"/>
    <cellStyle name="Note 25" xfId="10154"/>
    <cellStyle name="Note 25 2" xfId="10155"/>
    <cellStyle name="Note 26" xfId="10156"/>
    <cellStyle name="Note 26 2" xfId="10157"/>
    <cellStyle name="Note 27" xfId="10158"/>
    <cellStyle name="Note 27 2" xfId="10159"/>
    <cellStyle name="Note 28" xfId="10160"/>
    <cellStyle name="Note 28 2" xfId="10161"/>
    <cellStyle name="Note 29" xfId="10162"/>
    <cellStyle name="Note 29 2" xfId="10163"/>
    <cellStyle name="Note 3" xfId="10164"/>
    <cellStyle name="Note 3 2" xfId="10165"/>
    <cellStyle name="Note 30" xfId="10166"/>
    <cellStyle name="Note 30 2" xfId="10167"/>
    <cellStyle name="Note 31" xfId="10168"/>
    <cellStyle name="Note 31 2" xfId="10169"/>
    <cellStyle name="Note 32" xfId="10170"/>
    <cellStyle name="Note 32 2" xfId="10171"/>
    <cellStyle name="Note 33" xfId="10172"/>
    <cellStyle name="Note 33 2" xfId="10173"/>
    <cellStyle name="Note 34" xfId="10174"/>
    <cellStyle name="Note 34 2" xfId="10175"/>
    <cellStyle name="Note 35" xfId="10176"/>
    <cellStyle name="Note 35 2" xfId="10177"/>
    <cellStyle name="Note 36" xfId="10178"/>
    <cellStyle name="Note 36 2" xfId="10179"/>
    <cellStyle name="Note 37" xfId="10180"/>
    <cellStyle name="Note 37 2" xfId="10181"/>
    <cellStyle name="Note 38" xfId="10182"/>
    <cellStyle name="Note 38 2" xfId="10183"/>
    <cellStyle name="Note 39" xfId="10184"/>
    <cellStyle name="Note 39 2" xfId="10185"/>
    <cellStyle name="Note 4" xfId="10186"/>
    <cellStyle name="Note 4 2" xfId="10187"/>
    <cellStyle name="Note 40" xfId="10188"/>
    <cellStyle name="Note 40 2" xfId="10189"/>
    <cellStyle name="Note 41" xfId="10190"/>
    <cellStyle name="Note 41 2" xfId="10191"/>
    <cellStyle name="Note 42" xfId="10192"/>
    <cellStyle name="Note 42 2" xfId="10193"/>
    <cellStyle name="Note 43" xfId="10194"/>
    <cellStyle name="Note 43 2" xfId="10195"/>
    <cellStyle name="Note 44" xfId="10196"/>
    <cellStyle name="Note 44 2" xfId="10197"/>
    <cellStyle name="Note 45" xfId="10198"/>
    <cellStyle name="Note 45 2" xfId="10199"/>
    <cellStyle name="Note 46" xfId="10200"/>
    <cellStyle name="Note 46 2" xfId="10201"/>
    <cellStyle name="Note 47" xfId="10202"/>
    <cellStyle name="Note 47 2" xfId="10203"/>
    <cellStyle name="Note 48" xfId="10204"/>
    <cellStyle name="Note 48 2" xfId="10205"/>
    <cellStyle name="Note 49" xfId="10206"/>
    <cellStyle name="Note 49 2" xfId="10207"/>
    <cellStyle name="Note 5" xfId="10208"/>
    <cellStyle name="Note 5 2" xfId="10209"/>
    <cellStyle name="Note 50" xfId="10210"/>
    <cellStyle name="Note 50 2" xfId="10211"/>
    <cellStyle name="Note 51" xfId="10212"/>
    <cellStyle name="Note 51 2" xfId="10213"/>
    <cellStyle name="Note 52" xfId="10214"/>
    <cellStyle name="Note 52 2" xfId="10215"/>
    <cellStyle name="Note 53" xfId="10216"/>
    <cellStyle name="Note 53 2" xfId="10217"/>
    <cellStyle name="Note 54" xfId="10218"/>
    <cellStyle name="Note 54 2" xfId="10219"/>
    <cellStyle name="Note 55" xfId="10220"/>
    <cellStyle name="Note 55 2" xfId="10221"/>
    <cellStyle name="Note 56" xfId="10222"/>
    <cellStyle name="Note 56 2" xfId="10223"/>
    <cellStyle name="Note 57" xfId="10224"/>
    <cellStyle name="Note 57 2" xfId="10225"/>
    <cellStyle name="Note 58" xfId="10226"/>
    <cellStyle name="Note 58 2" xfId="10227"/>
    <cellStyle name="Note 59" xfId="10228"/>
    <cellStyle name="Note 59 2" xfId="10229"/>
    <cellStyle name="Note 6" xfId="10230"/>
    <cellStyle name="Note 6 2" xfId="10231"/>
    <cellStyle name="Note 60" xfId="10232"/>
    <cellStyle name="Note 60 2" xfId="10233"/>
    <cellStyle name="Note 61" xfId="10234"/>
    <cellStyle name="Note 61 2" xfId="10235"/>
    <cellStyle name="Note 62" xfId="10236"/>
    <cellStyle name="Note 62 2" xfId="10237"/>
    <cellStyle name="Note 63" xfId="10238"/>
    <cellStyle name="Note 63 2" xfId="10239"/>
    <cellStyle name="Note 64" xfId="10240"/>
    <cellStyle name="Note 64 2" xfId="10241"/>
    <cellStyle name="Note 65" xfId="10242"/>
    <cellStyle name="Note 65 2" xfId="10243"/>
    <cellStyle name="Note 66" xfId="10244"/>
    <cellStyle name="Note 66 2" xfId="10245"/>
    <cellStyle name="Note 67" xfId="10246"/>
    <cellStyle name="Note 67 2" xfId="10247"/>
    <cellStyle name="Note 68" xfId="10248"/>
    <cellStyle name="Note 68 2" xfId="10249"/>
    <cellStyle name="Note 69" xfId="10250"/>
    <cellStyle name="Note 69 2" xfId="10251"/>
    <cellStyle name="Note 7" xfId="10252"/>
    <cellStyle name="Note 7 2" xfId="10253"/>
    <cellStyle name="Note 70" xfId="10254"/>
    <cellStyle name="Note 70 2" xfId="10255"/>
    <cellStyle name="Note 71" xfId="10256"/>
    <cellStyle name="Note 71 2" xfId="10257"/>
    <cellStyle name="Note 72" xfId="10258"/>
    <cellStyle name="Note 73" xfId="10259"/>
    <cellStyle name="Note 74" xfId="10260"/>
    <cellStyle name="Note 75" xfId="10261"/>
    <cellStyle name="Note 76" xfId="10262"/>
    <cellStyle name="Note 77" xfId="10263"/>
    <cellStyle name="Note 78" xfId="10264"/>
    <cellStyle name="Note 79" xfId="10265"/>
    <cellStyle name="Note 8" xfId="10266"/>
    <cellStyle name="Note 8 2" xfId="10267"/>
    <cellStyle name="Note 80" xfId="10268"/>
    <cellStyle name="Note 81" xfId="10269"/>
    <cellStyle name="Note 82" xfId="10270"/>
    <cellStyle name="Note 83" xfId="10271"/>
    <cellStyle name="Note 84" xfId="10272"/>
    <cellStyle name="Note 85" xfId="10273"/>
    <cellStyle name="Note 86" xfId="10274"/>
    <cellStyle name="Note 87" xfId="10275"/>
    <cellStyle name="Note 88" xfId="10276"/>
    <cellStyle name="Note 89" xfId="10277"/>
    <cellStyle name="Note 9" xfId="10278"/>
    <cellStyle name="Note 9 2" xfId="10279"/>
    <cellStyle name="Note 90" xfId="10280"/>
    <cellStyle name="Note 91" xfId="10281"/>
    <cellStyle name="Note 92" xfId="10282"/>
    <cellStyle name="Note 93" xfId="10283"/>
    <cellStyle name="Note 94" xfId="10284"/>
    <cellStyle name="Note 95" xfId="10285"/>
    <cellStyle name="Note 96" xfId="10286"/>
    <cellStyle name="Note 97" xfId="10287"/>
    <cellStyle name="Note 98" xfId="10288"/>
    <cellStyle name="Note 99" xfId="10289"/>
    <cellStyle name="Output 10" xfId="10290"/>
    <cellStyle name="Output 10 2" xfId="10291"/>
    <cellStyle name="Output 100" xfId="10292"/>
    <cellStyle name="Output 101" xfId="10293"/>
    <cellStyle name="Output 102" xfId="10294"/>
    <cellStyle name="Output 103" xfId="10295"/>
    <cellStyle name="Output 104" xfId="10296"/>
    <cellStyle name="Output 105" xfId="10297"/>
    <cellStyle name="Output 106" xfId="10298"/>
    <cellStyle name="Output 107" xfId="10299"/>
    <cellStyle name="Output 108" xfId="10300"/>
    <cellStyle name="Output 109" xfId="10301"/>
    <cellStyle name="Output 11" xfId="10302"/>
    <cellStyle name="Output 11 2" xfId="10303"/>
    <cellStyle name="Output 110" xfId="10304"/>
    <cellStyle name="Output 111" xfId="10305"/>
    <cellStyle name="Output 112" xfId="10306"/>
    <cellStyle name="Output 113" xfId="10307"/>
    <cellStyle name="Output 114" xfId="10308"/>
    <cellStyle name="Output 115" xfId="10309"/>
    <cellStyle name="Output 116" xfId="10310"/>
    <cellStyle name="Output 117" xfId="10311"/>
    <cellStyle name="Output 118" xfId="10312"/>
    <cellStyle name="Output 12" xfId="10313"/>
    <cellStyle name="Output 12 2" xfId="10314"/>
    <cellStyle name="Output 13" xfId="10315"/>
    <cellStyle name="Output 13 2" xfId="10316"/>
    <cellStyle name="Output 14" xfId="10317"/>
    <cellStyle name="Output 14 2" xfId="10318"/>
    <cellStyle name="Output 15" xfId="10319"/>
    <cellStyle name="Output 15 2" xfId="10320"/>
    <cellStyle name="Output 16" xfId="10321"/>
    <cellStyle name="Output 16 2" xfId="10322"/>
    <cellStyle name="Output 17" xfId="10323"/>
    <cellStyle name="Output 17 2" xfId="10324"/>
    <cellStyle name="Output 18" xfId="10325"/>
    <cellStyle name="Output 18 2" xfId="10326"/>
    <cellStyle name="Output 19" xfId="10327"/>
    <cellStyle name="Output 19 2" xfId="10328"/>
    <cellStyle name="Output 2" xfId="10329"/>
    <cellStyle name="Output 2 2" xfId="10330"/>
    <cellStyle name="Output 2 3" xfId="10331"/>
    <cellStyle name="Output 20" xfId="10332"/>
    <cellStyle name="Output 20 2" xfId="10333"/>
    <cellStyle name="Output 21" xfId="10334"/>
    <cellStyle name="Output 21 2" xfId="10335"/>
    <cellStyle name="Output 22" xfId="10336"/>
    <cellStyle name="Output 22 2" xfId="10337"/>
    <cellStyle name="Output 23" xfId="10338"/>
    <cellStyle name="Output 23 2" xfId="10339"/>
    <cellStyle name="Output 24" xfId="10340"/>
    <cellStyle name="Output 24 2" xfId="10341"/>
    <cellStyle name="Output 25" xfId="10342"/>
    <cellStyle name="Output 25 2" xfId="10343"/>
    <cellStyle name="Output 26" xfId="10344"/>
    <cellStyle name="Output 26 2" xfId="10345"/>
    <cellStyle name="Output 27" xfId="10346"/>
    <cellStyle name="Output 27 2" xfId="10347"/>
    <cellStyle name="Output 28" xfId="10348"/>
    <cellStyle name="Output 28 2" xfId="10349"/>
    <cellStyle name="Output 29" xfId="10350"/>
    <cellStyle name="Output 29 2" xfId="10351"/>
    <cellStyle name="Output 3" xfId="10352"/>
    <cellStyle name="Output 3 2" xfId="10353"/>
    <cellStyle name="Output 30" xfId="10354"/>
    <cellStyle name="Output 30 2" xfId="10355"/>
    <cellStyle name="Output 31" xfId="10356"/>
    <cellStyle name="Output 31 2" xfId="10357"/>
    <cellStyle name="Output 32" xfId="10358"/>
    <cellStyle name="Output 32 2" xfId="10359"/>
    <cellStyle name="Output 33" xfId="10360"/>
    <cellStyle name="Output 33 2" xfId="10361"/>
    <cellStyle name="Output 34" xfId="10362"/>
    <cellStyle name="Output 34 2" xfId="10363"/>
    <cellStyle name="Output 35" xfId="10364"/>
    <cellStyle name="Output 35 2" xfId="10365"/>
    <cellStyle name="Output 36" xfId="10366"/>
    <cellStyle name="Output 36 2" xfId="10367"/>
    <cellStyle name="Output 37" xfId="10368"/>
    <cellStyle name="Output 37 2" xfId="10369"/>
    <cellStyle name="Output 38" xfId="10370"/>
    <cellStyle name="Output 38 2" xfId="10371"/>
    <cellStyle name="Output 39" xfId="10372"/>
    <cellStyle name="Output 39 2" xfId="10373"/>
    <cellStyle name="Output 4" xfId="10374"/>
    <cellStyle name="Output 4 2" xfId="10375"/>
    <cellStyle name="Output 40" xfId="10376"/>
    <cellStyle name="Output 40 2" xfId="10377"/>
    <cellStyle name="Output 41" xfId="10378"/>
    <cellStyle name="Output 41 2" xfId="10379"/>
    <cellStyle name="Output 42" xfId="10380"/>
    <cellStyle name="Output 42 2" xfId="10381"/>
    <cellStyle name="Output 43" xfId="10382"/>
    <cellStyle name="Output 43 2" xfId="10383"/>
    <cellStyle name="Output 44" xfId="10384"/>
    <cellStyle name="Output 44 2" xfId="10385"/>
    <cellStyle name="Output 45" xfId="10386"/>
    <cellStyle name="Output 45 2" xfId="10387"/>
    <cellStyle name="Output 46" xfId="10388"/>
    <cellStyle name="Output 46 2" xfId="10389"/>
    <cellStyle name="Output 47" xfId="10390"/>
    <cellStyle name="Output 47 2" xfId="10391"/>
    <cellStyle name="Output 48" xfId="10392"/>
    <cellStyle name="Output 48 2" xfId="10393"/>
    <cellStyle name="Output 49" xfId="10394"/>
    <cellStyle name="Output 49 2" xfId="10395"/>
    <cellStyle name="Output 5" xfId="10396"/>
    <cellStyle name="Output 5 2" xfId="10397"/>
    <cellStyle name="Output 50" xfId="10398"/>
    <cellStyle name="Output 50 2" xfId="10399"/>
    <cellStyle name="Output 51" xfId="10400"/>
    <cellStyle name="Output 51 2" xfId="10401"/>
    <cellStyle name="Output 52" xfId="10402"/>
    <cellStyle name="Output 52 2" xfId="10403"/>
    <cellStyle name="Output 53" xfId="10404"/>
    <cellStyle name="Output 53 2" xfId="10405"/>
    <cellStyle name="Output 54" xfId="10406"/>
    <cellStyle name="Output 54 2" xfId="10407"/>
    <cellStyle name="Output 55" xfId="10408"/>
    <cellStyle name="Output 55 2" xfId="10409"/>
    <cellStyle name="Output 56" xfId="10410"/>
    <cellStyle name="Output 56 2" xfId="10411"/>
    <cellStyle name="Output 57" xfId="10412"/>
    <cellStyle name="Output 57 2" xfId="10413"/>
    <cellStyle name="Output 58" xfId="10414"/>
    <cellStyle name="Output 58 2" xfId="10415"/>
    <cellStyle name="Output 59" xfId="10416"/>
    <cellStyle name="Output 59 2" xfId="10417"/>
    <cellStyle name="Output 6" xfId="10418"/>
    <cellStyle name="Output 6 2" xfId="10419"/>
    <cellStyle name="Output 60" xfId="10420"/>
    <cellStyle name="Output 60 2" xfId="10421"/>
    <cellStyle name="Output 61" xfId="10422"/>
    <cellStyle name="Output 61 2" xfId="10423"/>
    <cellStyle name="Output 62" xfId="10424"/>
    <cellStyle name="Output 62 2" xfId="10425"/>
    <cellStyle name="Output 63" xfId="10426"/>
    <cellStyle name="Output 63 2" xfId="10427"/>
    <cellStyle name="Output 64" xfId="10428"/>
    <cellStyle name="Output 64 2" xfId="10429"/>
    <cellStyle name="Output 65" xfId="10430"/>
    <cellStyle name="Output 65 2" xfId="10431"/>
    <cellStyle name="Output 66" xfId="10432"/>
    <cellStyle name="Output 66 2" xfId="10433"/>
    <cellStyle name="Output 67" xfId="10434"/>
    <cellStyle name="Output 67 2" xfId="10435"/>
    <cellStyle name="Output 68" xfId="10436"/>
    <cellStyle name="Output 68 2" xfId="10437"/>
    <cellStyle name="Output 69" xfId="10438"/>
    <cellStyle name="Output 69 2" xfId="10439"/>
    <cellStyle name="Output 7" xfId="10440"/>
    <cellStyle name="Output 7 2" xfId="10441"/>
    <cellStyle name="Output 70" xfId="10442"/>
    <cellStyle name="Output 70 2" xfId="10443"/>
    <cellStyle name="Output 71" xfId="10444"/>
    <cellStyle name="Output 71 2" xfId="10445"/>
    <cellStyle name="Output 72" xfId="10446"/>
    <cellStyle name="Output 73" xfId="10447"/>
    <cellStyle name="Output 74" xfId="10448"/>
    <cellStyle name="Output 75" xfId="10449"/>
    <cellStyle name="Output 76" xfId="10450"/>
    <cellStyle name="Output 77" xfId="10451"/>
    <cellStyle name="Output 78" xfId="10452"/>
    <cellStyle name="Output 79" xfId="10453"/>
    <cellStyle name="Output 8" xfId="10454"/>
    <cellStyle name="Output 8 2" xfId="10455"/>
    <cellStyle name="Output 80" xfId="10456"/>
    <cellStyle name="Output 81" xfId="10457"/>
    <cellStyle name="Output 82" xfId="10458"/>
    <cellStyle name="Output 83" xfId="10459"/>
    <cellStyle name="Output 84" xfId="10460"/>
    <cellStyle name="Output 85" xfId="10461"/>
    <cellStyle name="Output 86" xfId="10462"/>
    <cellStyle name="Output 87" xfId="10463"/>
    <cellStyle name="Output 88" xfId="10464"/>
    <cellStyle name="Output 89" xfId="10465"/>
    <cellStyle name="Output 9" xfId="10466"/>
    <cellStyle name="Output 9 2" xfId="10467"/>
    <cellStyle name="Output 90" xfId="10468"/>
    <cellStyle name="Output 91" xfId="10469"/>
    <cellStyle name="Output 92" xfId="10470"/>
    <cellStyle name="Output 93" xfId="10471"/>
    <cellStyle name="Output 94" xfId="10472"/>
    <cellStyle name="Output 95" xfId="10473"/>
    <cellStyle name="Output 96" xfId="10474"/>
    <cellStyle name="Output 97" xfId="10475"/>
    <cellStyle name="Output 98" xfId="10476"/>
    <cellStyle name="Output 99" xfId="10477"/>
    <cellStyle name="Output Amounts" xfId="10478"/>
    <cellStyle name="OUTPUT COLUMN HEADINGS" xfId="10479"/>
    <cellStyle name="Output Line Items" xfId="10480"/>
    <cellStyle name="OUTPUT REPORT HEADING" xfId="10481"/>
    <cellStyle name="OUTPUT REPORT TITLE" xfId="10482"/>
    <cellStyle name="Percent" xfId="2" builtinId="5"/>
    <cellStyle name="Percent 2" xfId="10483"/>
    <cellStyle name="Percent 3" xfId="10484"/>
    <cellStyle name="Percent 4" xfId="11128"/>
    <cellStyle name="Percent 5" xfId="11132"/>
    <cellStyle name="ReportTitlePrompt" xfId="10485"/>
    <cellStyle name="ReportTitleValue" xfId="10486"/>
    <cellStyle name="RowAcctAbovePrompt" xfId="10487"/>
    <cellStyle name="RowAcctSOBAbovePrompt" xfId="10488"/>
    <cellStyle name="RowAcctSOBValue" xfId="10489"/>
    <cellStyle name="RowAcctValue" xfId="10490"/>
    <cellStyle name="RowAttrAbovePrompt" xfId="10491"/>
    <cellStyle name="RowAttrValue" xfId="10492"/>
    <cellStyle name="RowColSetAbovePrompt" xfId="10493"/>
    <cellStyle name="RowColSetLeftPrompt" xfId="10494"/>
    <cellStyle name="RowColSetValue" xfId="10495"/>
    <cellStyle name="RowLeftPrompt" xfId="10496"/>
    <cellStyle name="SampleUsingFormatMask" xfId="10497"/>
    <cellStyle name="SampleWithNoFormatMask" xfId="10498"/>
    <cellStyle name="Title 10" xfId="10499"/>
    <cellStyle name="Title 10 2" xfId="10500"/>
    <cellStyle name="Title 100" xfId="10501"/>
    <cellStyle name="Title 101" xfId="10502"/>
    <cellStyle name="Title 102" xfId="10503"/>
    <cellStyle name="Title 103" xfId="10504"/>
    <cellStyle name="Title 104" xfId="10505"/>
    <cellStyle name="Title 105" xfId="10506"/>
    <cellStyle name="Title 106" xfId="10507"/>
    <cellStyle name="Title 107" xfId="10508"/>
    <cellStyle name="Title 108" xfId="10509"/>
    <cellStyle name="Title 109" xfId="10510"/>
    <cellStyle name="Title 11" xfId="10511"/>
    <cellStyle name="Title 11 2" xfId="10512"/>
    <cellStyle name="Title 110" xfId="10513"/>
    <cellStyle name="Title 111" xfId="10514"/>
    <cellStyle name="Title 112" xfId="10515"/>
    <cellStyle name="Title 113" xfId="10516"/>
    <cellStyle name="Title 114" xfId="10517"/>
    <cellStyle name="Title 115" xfId="10518"/>
    <cellStyle name="Title 116" xfId="10519"/>
    <cellStyle name="Title 117" xfId="10520"/>
    <cellStyle name="Title 118" xfId="10521"/>
    <cellStyle name="Title 119" xfId="10522"/>
    <cellStyle name="Title 12" xfId="10523"/>
    <cellStyle name="Title 12 2" xfId="10524"/>
    <cellStyle name="Title 120" xfId="10525"/>
    <cellStyle name="Title 121" xfId="10526"/>
    <cellStyle name="Title 122" xfId="10527"/>
    <cellStyle name="Title 123" xfId="10528"/>
    <cellStyle name="Title 124" xfId="10529"/>
    <cellStyle name="Title 125" xfId="10530"/>
    <cellStyle name="Title 126" xfId="10531"/>
    <cellStyle name="Title 127" xfId="10532"/>
    <cellStyle name="Title 128" xfId="10533"/>
    <cellStyle name="Title 129" xfId="10534"/>
    <cellStyle name="Title 13" xfId="10535"/>
    <cellStyle name="Title 13 2" xfId="10536"/>
    <cellStyle name="Title 130" xfId="10537"/>
    <cellStyle name="Title 131" xfId="10538"/>
    <cellStyle name="Title 132" xfId="10539"/>
    <cellStyle name="Title 133" xfId="10540"/>
    <cellStyle name="Title 134" xfId="10541"/>
    <cellStyle name="Title 135" xfId="10542"/>
    <cellStyle name="Title 136" xfId="10543"/>
    <cellStyle name="Title 137" xfId="10544"/>
    <cellStyle name="Title 138" xfId="10545"/>
    <cellStyle name="Title 139" xfId="10546"/>
    <cellStyle name="Title 14" xfId="10547"/>
    <cellStyle name="Title 14 2" xfId="10548"/>
    <cellStyle name="Title 140" xfId="10549"/>
    <cellStyle name="Title 141" xfId="10550"/>
    <cellStyle name="Title 142" xfId="10551"/>
    <cellStyle name="Title 143" xfId="10552"/>
    <cellStyle name="Title 144" xfId="10553"/>
    <cellStyle name="Title 145" xfId="10554"/>
    <cellStyle name="Title 146" xfId="10555"/>
    <cellStyle name="Title 147" xfId="10556"/>
    <cellStyle name="Title 148" xfId="10557"/>
    <cellStyle name="Title 149" xfId="10558"/>
    <cellStyle name="Title 15" xfId="10559"/>
    <cellStyle name="Title 15 2" xfId="10560"/>
    <cellStyle name="Title 150" xfId="10561"/>
    <cellStyle name="Title 151" xfId="10562"/>
    <cellStyle name="Title 152" xfId="10563"/>
    <cellStyle name="Title 153" xfId="10564"/>
    <cellStyle name="Title 154" xfId="10565"/>
    <cellStyle name="Title 155" xfId="10566"/>
    <cellStyle name="Title 156" xfId="10567"/>
    <cellStyle name="Title 157" xfId="10568"/>
    <cellStyle name="Title 158" xfId="10569"/>
    <cellStyle name="Title 159" xfId="10570"/>
    <cellStyle name="Title 16" xfId="10571"/>
    <cellStyle name="Title 16 2" xfId="10572"/>
    <cellStyle name="Title 160" xfId="10573"/>
    <cellStyle name="Title 161" xfId="10574"/>
    <cellStyle name="Title 162" xfId="10575"/>
    <cellStyle name="Title 163" xfId="10576"/>
    <cellStyle name="Title 164" xfId="10577"/>
    <cellStyle name="Title 165" xfId="10578"/>
    <cellStyle name="Title 166" xfId="10579"/>
    <cellStyle name="Title 167" xfId="10580"/>
    <cellStyle name="Title 168" xfId="10581"/>
    <cellStyle name="Title 169" xfId="10582"/>
    <cellStyle name="Title 17" xfId="10583"/>
    <cellStyle name="Title 17 2" xfId="10584"/>
    <cellStyle name="Title 170" xfId="10585"/>
    <cellStyle name="Title 171" xfId="10586"/>
    <cellStyle name="Title 172" xfId="10587"/>
    <cellStyle name="Title 173" xfId="10588"/>
    <cellStyle name="Title 174" xfId="10589"/>
    <cellStyle name="Title 175" xfId="10590"/>
    <cellStyle name="Title 176" xfId="10591"/>
    <cellStyle name="Title 177" xfId="10592"/>
    <cellStyle name="Title 18" xfId="10593"/>
    <cellStyle name="Title 18 2" xfId="10594"/>
    <cellStyle name="Title 19" xfId="10595"/>
    <cellStyle name="Title 19 2" xfId="10596"/>
    <cellStyle name="Title 2" xfId="10597"/>
    <cellStyle name="Title 2 2" xfId="10598"/>
    <cellStyle name="Title 2 3" xfId="10599"/>
    <cellStyle name="Title 20" xfId="10600"/>
    <cellStyle name="Title 20 2" xfId="10601"/>
    <cellStyle name="Title 21" xfId="10602"/>
    <cellStyle name="Title 21 2" xfId="10603"/>
    <cellStyle name="Title 22" xfId="10604"/>
    <cellStyle name="Title 22 2" xfId="10605"/>
    <cellStyle name="Title 23" xfId="10606"/>
    <cellStyle name="Title 23 2" xfId="10607"/>
    <cellStyle name="Title 24" xfId="10608"/>
    <cellStyle name="Title 24 2" xfId="10609"/>
    <cellStyle name="Title 25" xfId="10610"/>
    <cellStyle name="Title 25 2" xfId="10611"/>
    <cellStyle name="Title 26" xfId="10612"/>
    <cellStyle name="Title 26 2" xfId="10613"/>
    <cellStyle name="Title 27" xfId="10614"/>
    <cellStyle name="Title 27 2" xfId="10615"/>
    <cellStyle name="Title 28" xfId="10616"/>
    <cellStyle name="Title 28 2" xfId="10617"/>
    <cellStyle name="Title 29" xfId="10618"/>
    <cellStyle name="Title 29 2" xfId="10619"/>
    <cellStyle name="Title 3" xfId="10620"/>
    <cellStyle name="Title 3 2" xfId="10621"/>
    <cellStyle name="Title 30" xfId="10622"/>
    <cellStyle name="Title 30 2" xfId="10623"/>
    <cellStyle name="Title 31" xfId="10624"/>
    <cellStyle name="Title 31 2" xfId="10625"/>
    <cellStyle name="Title 32" xfId="10626"/>
    <cellStyle name="Title 32 2" xfId="10627"/>
    <cellStyle name="Title 33" xfId="10628"/>
    <cellStyle name="Title 33 2" xfId="10629"/>
    <cellStyle name="Title 34" xfId="10630"/>
    <cellStyle name="Title 34 2" xfId="10631"/>
    <cellStyle name="Title 35" xfId="10632"/>
    <cellStyle name="Title 35 2" xfId="10633"/>
    <cellStyle name="Title 36" xfId="10634"/>
    <cellStyle name="Title 36 2" xfId="10635"/>
    <cellStyle name="Title 37" xfId="10636"/>
    <cellStyle name="Title 37 2" xfId="10637"/>
    <cellStyle name="Title 38" xfId="10638"/>
    <cellStyle name="Title 38 2" xfId="10639"/>
    <cellStyle name="Title 39" xfId="10640"/>
    <cellStyle name="Title 39 2" xfId="10641"/>
    <cellStyle name="Title 4" xfId="10642"/>
    <cellStyle name="Title 4 2" xfId="10643"/>
    <cellStyle name="Title 40" xfId="10644"/>
    <cellStyle name="Title 40 2" xfId="10645"/>
    <cellStyle name="Title 41" xfId="10646"/>
    <cellStyle name="Title 41 2" xfId="10647"/>
    <cellStyle name="Title 42" xfId="10648"/>
    <cellStyle name="Title 42 2" xfId="10649"/>
    <cellStyle name="Title 43" xfId="10650"/>
    <cellStyle name="Title 43 2" xfId="10651"/>
    <cellStyle name="Title 44" xfId="10652"/>
    <cellStyle name="Title 44 2" xfId="10653"/>
    <cellStyle name="Title 45" xfId="10654"/>
    <cellStyle name="Title 45 2" xfId="10655"/>
    <cellStyle name="Title 46" xfId="10656"/>
    <cellStyle name="Title 46 2" xfId="10657"/>
    <cellStyle name="Title 47" xfId="10658"/>
    <cellStyle name="Title 47 2" xfId="10659"/>
    <cellStyle name="Title 48" xfId="10660"/>
    <cellStyle name="Title 48 2" xfId="10661"/>
    <cellStyle name="Title 49" xfId="10662"/>
    <cellStyle name="Title 49 2" xfId="10663"/>
    <cellStyle name="Title 5" xfId="10664"/>
    <cellStyle name="Title 5 2" xfId="10665"/>
    <cellStyle name="Title 50" xfId="10666"/>
    <cellStyle name="Title 50 2" xfId="10667"/>
    <cellStyle name="Title 51" xfId="10668"/>
    <cellStyle name="Title 51 2" xfId="10669"/>
    <cellStyle name="Title 52" xfId="10670"/>
    <cellStyle name="Title 52 2" xfId="10671"/>
    <cellStyle name="Title 53" xfId="10672"/>
    <cellStyle name="Title 53 2" xfId="10673"/>
    <cellStyle name="Title 54" xfId="10674"/>
    <cellStyle name="Title 54 2" xfId="10675"/>
    <cellStyle name="Title 55" xfId="10676"/>
    <cellStyle name="Title 55 2" xfId="10677"/>
    <cellStyle name="Title 56" xfId="10678"/>
    <cellStyle name="Title 56 2" xfId="10679"/>
    <cellStyle name="Title 57" xfId="10680"/>
    <cellStyle name="Title 57 2" xfId="10681"/>
    <cellStyle name="Title 58" xfId="10682"/>
    <cellStyle name="Title 58 2" xfId="10683"/>
    <cellStyle name="Title 59" xfId="10684"/>
    <cellStyle name="Title 59 2" xfId="10685"/>
    <cellStyle name="Title 6" xfId="10686"/>
    <cellStyle name="Title 6 2" xfId="10687"/>
    <cellStyle name="Title 60" xfId="10688"/>
    <cellStyle name="Title 60 2" xfId="10689"/>
    <cellStyle name="Title 61" xfId="10690"/>
    <cellStyle name="Title 61 2" xfId="10691"/>
    <cellStyle name="Title 62" xfId="10692"/>
    <cellStyle name="Title 62 2" xfId="10693"/>
    <cellStyle name="Title 63" xfId="10694"/>
    <cellStyle name="Title 63 2" xfId="10695"/>
    <cellStyle name="Title 64" xfId="10696"/>
    <cellStyle name="Title 64 2" xfId="10697"/>
    <cellStyle name="Title 65" xfId="10698"/>
    <cellStyle name="Title 65 2" xfId="10699"/>
    <cellStyle name="Title 66" xfId="10700"/>
    <cellStyle name="Title 66 2" xfId="10701"/>
    <cellStyle name="Title 67" xfId="10702"/>
    <cellStyle name="Title 67 2" xfId="10703"/>
    <cellStyle name="Title 68" xfId="10704"/>
    <cellStyle name="Title 68 2" xfId="10705"/>
    <cellStyle name="Title 69" xfId="10706"/>
    <cellStyle name="Title 69 2" xfId="10707"/>
    <cellStyle name="Title 7" xfId="10708"/>
    <cellStyle name="Title 7 2" xfId="10709"/>
    <cellStyle name="Title 70" xfId="10710"/>
    <cellStyle name="Title 70 2" xfId="10711"/>
    <cellStyle name="Title 71" xfId="10712"/>
    <cellStyle name="Title 71 2" xfId="10713"/>
    <cellStyle name="Title 72" xfId="10714"/>
    <cellStyle name="Title 73" xfId="10715"/>
    <cellStyle name="Title 74" xfId="10716"/>
    <cellStyle name="Title 75" xfId="10717"/>
    <cellStyle name="Title 76" xfId="10718"/>
    <cellStyle name="Title 77" xfId="10719"/>
    <cellStyle name="Title 78" xfId="10720"/>
    <cellStyle name="Title 79" xfId="10721"/>
    <cellStyle name="Title 8" xfId="10722"/>
    <cellStyle name="Title 8 2" xfId="10723"/>
    <cellStyle name="Title 80" xfId="10724"/>
    <cellStyle name="Title 81" xfId="10725"/>
    <cellStyle name="Title 82" xfId="10726"/>
    <cellStyle name="Title 83" xfId="10727"/>
    <cellStyle name="Title 84" xfId="10728"/>
    <cellStyle name="Title 85" xfId="10729"/>
    <cellStyle name="Title 86" xfId="10730"/>
    <cellStyle name="Title 87" xfId="10731"/>
    <cellStyle name="Title 88" xfId="10732"/>
    <cellStyle name="Title 89" xfId="10733"/>
    <cellStyle name="Title 9" xfId="10734"/>
    <cellStyle name="Title 9 2" xfId="10735"/>
    <cellStyle name="Title 90" xfId="10736"/>
    <cellStyle name="Title 91" xfId="10737"/>
    <cellStyle name="Title 92" xfId="10738"/>
    <cellStyle name="Title 93" xfId="10739"/>
    <cellStyle name="Title 94" xfId="10740"/>
    <cellStyle name="Title 95" xfId="10741"/>
    <cellStyle name="Title 96" xfId="10742"/>
    <cellStyle name="Title 97" xfId="10743"/>
    <cellStyle name="Title 98" xfId="10744"/>
    <cellStyle name="Title 99" xfId="10745"/>
    <cellStyle name="Total 10" xfId="10746"/>
    <cellStyle name="Total 10 2" xfId="10747"/>
    <cellStyle name="Total 100" xfId="10748"/>
    <cellStyle name="Total 101" xfId="10749"/>
    <cellStyle name="Total 102" xfId="10750"/>
    <cellStyle name="Total 103" xfId="10751"/>
    <cellStyle name="Total 104" xfId="10752"/>
    <cellStyle name="Total 105" xfId="10753"/>
    <cellStyle name="Total 106" xfId="10754"/>
    <cellStyle name="Total 107" xfId="10755"/>
    <cellStyle name="Total 108" xfId="10756"/>
    <cellStyle name="Total 109" xfId="10757"/>
    <cellStyle name="Total 11" xfId="10758"/>
    <cellStyle name="Total 11 2" xfId="10759"/>
    <cellStyle name="Total 110" xfId="10760"/>
    <cellStyle name="Total 111" xfId="10761"/>
    <cellStyle name="Total 112" xfId="10762"/>
    <cellStyle name="Total 113" xfId="10763"/>
    <cellStyle name="Total 114" xfId="10764"/>
    <cellStyle name="Total 115" xfId="10765"/>
    <cellStyle name="Total 116" xfId="10766"/>
    <cellStyle name="Total 117" xfId="10767"/>
    <cellStyle name="Total 118" xfId="10768"/>
    <cellStyle name="Total 119" xfId="10769"/>
    <cellStyle name="Total 12" xfId="10770"/>
    <cellStyle name="Total 12 2" xfId="10771"/>
    <cellStyle name="Total 120" xfId="10772"/>
    <cellStyle name="Total 121" xfId="10773"/>
    <cellStyle name="Total 122" xfId="10774"/>
    <cellStyle name="Total 123" xfId="10775"/>
    <cellStyle name="Total 124" xfId="10776"/>
    <cellStyle name="Total 125" xfId="10777"/>
    <cellStyle name="Total 126" xfId="10778"/>
    <cellStyle name="Total 127" xfId="10779"/>
    <cellStyle name="Total 128" xfId="10780"/>
    <cellStyle name="Total 129" xfId="10781"/>
    <cellStyle name="Total 13" xfId="10782"/>
    <cellStyle name="Total 13 2" xfId="10783"/>
    <cellStyle name="Total 130" xfId="10784"/>
    <cellStyle name="Total 131" xfId="10785"/>
    <cellStyle name="Total 132" xfId="10786"/>
    <cellStyle name="Total 133" xfId="10787"/>
    <cellStyle name="Total 134" xfId="10788"/>
    <cellStyle name="Total 135" xfId="10789"/>
    <cellStyle name="Total 136" xfId="10790"/>
    <cellStyle name="Total 137" xfId="10791"/>
    <cellStyle name="Total 138" xfId="10792"/>
    <cellStyle name="Total 139" xfId="10793"/>
    <cellStyle name="Total 14" xfId="10794"/>
    <cellStyle name="Total 14 2" xfId="10795"/>
    <cellStyle name="Total 140" xfId="10796"/>
    <cellStyle name="Total 141" xfId="10797"/>
    <cellStyle name="Total 142" xfId="10798"/>
    <cellStyle name="Total 143" xfId="10799"/>
    <cellStyle name="Total 144" xfId="10800"/>
    <cellStyle name="Total 145" xfId="10801"/>
    <cellStyle name="Total 146" xfId="10802"/>
    <cellStyle name="Total 147" xfId="10803"/>
    <cellStyle name="Total 148" xfId="10804"/>
    <cellStyle name="Total 149" xfId="10805"/>
    <cellStyle name="Total 15" xfId="10806"/>
    <cellStyle name="Total 15 2" xfId="10807"/>
    <cellStyle name="Total 150" xfId="10808"/>
    <cellStyle name="Total 151" xfId="10809"/>
    <cellStyle name="Total 152" xfId="10810"/>
    <cellStyle name="Total 153" xfId="10811"/>
    <cellStyle name="Total 154" xfId="10812"/>
    <cellStyle name="Total 155" xfId="10813"/>
    <cellStyle name="Total 156" xfId="10814"/>
    <cellStyle name="Total 157" xfId="10815"/>
    <cellStyle name="Total 158" xfId="10816"/>
    <cellStyle name="Total 159" xfId="10817"/>
    <cellStyle name="Total 16" xfId="10818"/>
    <cellStyle name="Total 16 2" xfId="10819"/>
    <cellStyle name="Total 160" xfId="10820"/>
    <cellStyle name="Total 161" xfId="10821"/>
    <cellStyle name="Total 162" xfId="10822"/>
    <cellStyle name="Total 163" xfId="10823"/>
    <cellStyle name="Total 164" xfId="10824"/>
    <cellStyle name="Total 165" xfId="10825"/>
    <cellStyle name="Total 166" xfId="10826"/>
    <cellStyle name="Total 167" xfId="10827"/>
    <cellStyle name="Total 168" xfId="10828"/>
    <cellStyle name="Total 169" xfId="10829"/>
    <cellStyle name="Total 17" xfId="10830"/>
    <cellStyle name="Total 17 2" xfId="10831"/>
    <cellStyle name="Total 170" xfId="10832"/>
    <cellStyle name="Total 171" xfId="10833"/>
    <cellStyle name="Total 172" xfId="10834"/>
    <cellStyle name="Total 173" xfId="10835"/>
    <cellStyle name="Total 174" xfId="10836"/>
    <cellStyle name="Total 175" xfId="10837"/>
    <cellStyle name="Total 176" xfId="10838"/>
    <cellStyle name="Total 177" xfId="10839"/>
    <cellStyle name="Total 18" xfId="10840"/>
    <cellStyle name="Total 18 2" xfId="10841"/>
    <cellStyle name="Total 19" xfId="10842"/>
    <cellStyle name="Total 19 2" xfId="10843"/>
    <cellStyle name="Total 2" xfId="10844"/>
    <cellStyle name="Total 2 2" xfId="10845"/>
    <cellStyle name="Total 2 3" xfId="10846"/>
    <cellStyle name="Total 20" xfId="10847"/>
    <cellStyle name="Total 20 2" xfId="10848"/>
    <cellStyle name="Total 21" xfId="10849"/>
    <cellStyle name="Total 21 2" xfId="10850"/>
    <cellStyle name="Total 22" xfId="10851"/>
    <cellStyle name="Total 22 2" xfId="10852"/>
    <cellStyle name="Total 23" xfId="10853"/>
    <cellStyle name="Total 23 2" xfId="10854"/>
    <cellStyle name="Total 24" xfId="10855"/>
    <cellStyle name="Total 24 2" xfId="10856"/>
    <cellStyle name="Total 25" xfId="10857"/>
    <cellStyle name="Total 25 2" xfId="10858"/>
    <cellStyle name="Total 26" xfId="10859"/>
    <cellStyle name="Total 26 2" xfId="10860"/>
    <cellStyle name="Total 27" xfId="10861"/>
    <cellStyle name="Total 27 2" xfId="10862"/>
    <cellStyle name="Total 28" xfId="10863"/>
    <cellStyle name="Total 28 2" xfId="10864"/>
    <cellStyle name="Total 29" xfId="10865"/>
    <cellStyle name="Total 29 2" xfId="10866"/>
    <cellStyle name="Total 3" xfId="10867"/>
    <cellStyle name="Total 3 2" xfId="10868"/>
    <cellStyle name="Total 30" xfId="10869"/>
    <cellStyle name="Total 30 2" xfId="10870"/>
    <cellStyle name="Total 31" xfId="10871"/>
    <cellStyle name="Total 31 2" xfId="10872"/>
    <cellStyle name="Total 32" xfId="10873"/>
    <cellStyle name="Total 32 2" xfId="10874"/>
    <cellStyle name="Total 33" xfId="10875"/>
    <cellStyle name="Total 33 2" xfId="10876"/>
    <cellStyle name="Total 34" xfId="10877"/>
    <cellStyle name="Total 34 2" xfId="10878"/>
    <cellStyle name="Total 35" xfId="10879"/>
    <cellStyle name="Total 35 2" xfId="10880"/>
    <cellStyle name="Total 36" xfId="10881"/>
    <cellStyle name="Total 36 2" xfId="10882"/>
    <cellStyle name="Total 37" xfId="10883"/>
    <cellStyle name="Total 37 2" xfId="10884"/>
    <cellStyle name="Total 38" xfId="10885"/>
    <cellStyle name="Total 38 2" xfId="10886"/>
    <cellStyle name="Total 39" xfId="10887"/>
    <cellStyle name="Total 39 2" xfId="10888"/>
    <cellStyle name="Total 4" xfId="10889"/>
    <cellStyle name="Total 4 2" xfId="10890"/>
    <cellStyle name="Total 40" xfId="10891"/>
    <cellStyle name="Total 40 2" xfId="10892"/>
    <cellStyle name="Total 41" xfId="10893"/>
    <cellStyle name="Total 41 2" xfId="10894"/>
    <cellStyle name="Total 42" xfId="10895"/>
    <cellStyle name="Total 42 2" xfId="10896"/>
    <cellStyle name="Total 43" xfId="10897"/>
    <cellStyle name="Total 43 2" xfId="10898"/>
    <cellStyle name="Total 44" xfId="10899"/>
    <cellStyle name="Total 44 2" xfId="10900"/>
    <cellStyle name="Total 45" xfId="10901"/>
    <cellStyle name="Total 45 2" xfId="10902"/>
    <cellStyle name="Total 46" xfId="10903"/>
    <cellStyle name="Total 46 2" xfId="10904"/>
    <cellStyle name="Total 47" xfId="10905"/>
    <cellStyle name="Total 47 2" xfId="10906"/>
    <cellStyle name="Total 48" xfId="10907"/>
    <cellStyle name="Total 48 2" xfId="10908"/>
    <cellStyle name="Total 49" xfId="10909"/>
    <cellStyle name="Total 49 2" xfId="10910"/>
    <cellStyle name="Total 5" xfId="10911"/>
    <cellStyle name="Total 5 2" xfId="10912"/>
    <cellStyle name="Total 50" xfId="10913"/>
    <cellStyle name="Total 50 2" xfId="10914"/>
    <cellStyle name="Total 51" xfId="10915"/>
    <cellStyle name="Total 51 2" xfId="10916"/>
    <cellStyle name="Total 52" xfId="10917"/>
    <cellStyle name="Total 52 2" xfId="10918"/>
    <cellStyle name="Total 53" xfId="10919"/>
    <cellStyle name="Total 53 2" xfId="10920"/>
    <cellStyle name="Total 54" xfId="10921"/>
    <cellStyle name="Total 54 2" xfId="10922"/>
    <cellStyle name="Total 55" xfId="10923"/>
    <cellStyle name="Total 55 2" xfId="10924"/>
    <cellStyle name="Total 56" xfId="10925"/>
    <cellStyle name="Total 56 2" xfId="10926"/>
    <cellStyle name="Total 57" xfId="10927"/>
    <cellStyle name="Total 57 2" xfId="10928"/>
    <cellStyle name="Total 58" xfId="10929"/>
    <cellStyle name="Total 58 2" xfId="10930"/>
    <cellStyle name="Total 59" xfId="10931"/>
    <cellStyle name="Total 59 2" xfId="10932"/>
    <cellStyle name="Total 6" xfId="10933"/>
    <cellStyle name="Total 6 2" xfId="10934"/>
    <cellStyle name="Total 60" xfId="10935"/>
    <cellStyle name="Total 60 2" xfId="10936"/>
    <cellStyle name="Total 61" xfId="10937"/>
    <cellStyle name="Total 61 2" xfId="10938"/>
    <cellStyle name="Total 62" xfId="10939"/>
    <cellStyle name="Total 62 2" xfId="10940"/>
    <cellStyle name="Total 63" xfId="10941"/>
    <cellStyle name="Total 63 2" xfId="10942"/>
    <cellStyle name="Total 64" xfId="10943"/>
    <cellStyle name="Total 64 2" xfId="10944"/>
    <cellStyle name="Total 65" xfId="10945"/>
    <cellStyle name="Total 65 2" xfId="10946"/>
    <cellStyle name="Total 66" xfId="10947"/>
    <cellStyle name="Total 66 2" xfId="10948"/>
    <cellStyle name="Total 67" xfId="10949"/>
    <cellStyle name="Total 67 2" xfId="10950"/>
    <cellStyle name="Total 68" xfId="10951"/>
    <cellStyle name="Total 68 2" xfId="10952"/>
    <cellStyle name="Total 69" xfId="10953"/>
    <cellStyle name="Total 69 2" xfId="10954"/>
    <cellStyle name="Total 7" xfId="10955"/>
    <cellStyle name="Total 7 2" xfId="10956"/>
    <cellStyle name="Total 70" xfId="10957"/>
    <cellStyle name="Total 70 2" xfId="10958"/>
    <cellStyle name="Total 71" xfId="10959"/>
    <cellStyle name="Total 71 2" xfId="10960"/>
    <cellStyle name="Total 72" xfId="10961"/>
    <cellStyle name="Total 73" xfId="10962"/>
    <cellStyle name="Total 74" xfId="10963"/>
    <cellStyle name="Total 75" xfId="10964"/>
    <cellStyle name="Total 76" xfId="10965"/>
    <cellStyle name="Total 77" xfId="10966"/>
    <cellStyle name="Total 78" xfId="10967"/>
    <cellStyle name="Total 79" xfId="10968"/>
    <cellStyle name="Total 8" xfId="10969"/>
    <cellStyle name="Total 8 2" xfId="10970"/>
    <cellStyle name="Total 80" xfId="10971"/>
    <cellStyle name="Total 81" xfId="10972"/>
    <cellStyle name="Total 82" xfId="10973"/>
    <cellStyle name="Total 83" xfId="10974"/>
    <cellStyle name="Total 84" xfId="10975"/>
    <cellStyle name="Total 85" xfId="10976"/>
    <cellStyle name="Total 86" xfId="10977"/>
    <cellStyle name="Total 87" xfId="10978"/>
    <cellStyle name="Total 88" xfId="10979"/>
    <cellStyle name="Total 89" xfId="10980"/>
    <cellStyle name="Total 9" xfId="10981"/>
    <cellStyle name="Total 9 2" xfId="10982"/>
    <cellStyle name="Total 90" xfId="10983"/>
    <cellStyle name="Total 91" xfId="10984"/>
    <cellStyle name="Total 92" xfId="10985"/>
    <cellStyle name="Total 93" xfId="10986"/>
    <cellStyle name="Total 94" xfId="10987"/>
    <cellStyle name="Total 95" xfId="10988"/>
    <cellStyle name="Total 96" xfId="10989"/>
    <cellStyle name="Total 97" xfId="10990"/>
    <cellStyle name="Total 98" xfId="10991"/>
    <cellStyle name="Total 99" xfId="10992"/>
    <cellStyle name="UploadThisRowValue" xfId="10993"/>
    <cellStyle name="Warning Text 10" xfId="10994"/>
    <cellStyle name="Warning Text 10 2" xfId="10995"/>
    <cellStyle name="Warning Text 11" xfId="10996"/>
    <cellStyle name="Warning Text 11 2" xfId="10997"/>
    <cellStyle name="Warning Text 12" xfId="10998"/>
    <cellStyle name="Warning Text 12 2" xfId="10999"/>
    <cellStyle name="Warning Text 13" xfId="11000"/>
    <cellStyle name="Warning Text 13 2" xfId="11001"/>
    <cellStyle name="Warning Text 14" xfId="11002"/>
    <cellStyle name="Warning Text 14 2" xfId="11003"/>
    <cellStyle name="Warning Text 15" xfId="11004"/>
    <cellStyle name="Warning Text 15 2" xfId="11005"/>
    <cellStyle name="Warning Text 16" xfId="11006"/>
    <cellStyle name="Warning Text 16 2" xfId="11007"/>
    <cellStyle name="Warning Text 17" xfId="11008"/>
    <cellStyle name="Warning Text 17 2" xfId="11009"/>
    <cellStyle name="Warning Text 18" xfId="11010"/>
    <cellStyle name="Warning Text 18 2" xfId="11011"/>
    <cellStyle name="Warning Text 19" xfId="11012"/>
    <cellStyle name="Warning Text 19 2" xfId="11013"/>
    <cellStyle name="Warning Text 2" xfId="11014"/>
    <cellStyle name="Warning Text 2 2" xfId="11015"/>
    <cellStyle name="Warning Text 2 3" xfId="11016"/>
    <cellStyle name="Warning Text 20" xfId="11017"/>
    <cellStyle name="Warning Text 20 2" xfId="11018"/>
    <cellStyle name="Warning Text 21" xfId="11019"/>
    <cellStyle name="Warning Text 21 2" xfId="11020"/>
    <cellStyle name="Warning Text 22" xfId="11021"/>
    <cellStyle name="Warning Text 22 2" xfId="11022"/>
    <cellStyle name="Warning Text 23" xfId="11023"/>
    <cellStyle name="Warning Text 23 2" xfId="11024"/>
    <cellStyle name="Warning Text 24" xfId="11025"/>
    <cellStyle name="Warning Text 24 2" xfId="11026"/>
    <cellStyle name="Warning Text 25" xfId="11027"/>
    <cellStyle name="Warning Text 25 2" xfId="11028"/>
    <cellStyle name="Warning Text 26" xfId="11029"/>
    <cellStyle name="Warning Text 26 2" xfId="11030"/>
    <cellStyle name="Warning Text 27" xfId="11031"/>
    <cellStyle name="Warning Text 27 2" xfId="11032"/>
    <cellStyle name="Warning Text 28" xfId="11033"/>
    <cellStyle name="Warning Text 28 2" xfId="11034"/>
    <cellStyle name="Warning Text 29" xfId="11035"/>
    <cellStyle name="Warning Text 29 2" xfId="11036"/>
    <cellStyle name="Warning Text 3" xfId="11037"/>
    <cellStyle name="Warning Text 3 2" xfId="11038"/>
    <cellStyle name="Warning Text 30" xfId="11039"/>
    <cellStyle name="Warning Text 30 2" xfId="11040"/>
    <cellStyle name="Warning Text 31" xfId="11041"/>
    <cellStyle name="Warning Text 31 2" xfId="11042"/>
    <cellStyle name="Warning Text 32" xfId="11043"/>
    <cellStyle name="Warning Text 32 2" xfId="11044"/>
    <cellStyle name="Warning Text 33" xfId="11045"/>
    <cellStyle name="Warning Text 33 2" xfId="11046"/>
    <cellStyle name="Warning Text 34" xfId="11047"/>
    <cellStyle name="Warning Text 34 2" xfId="11048"/>
    <cellStyle name="Warning Text 35" xfId="11049"/>
    <cellStyle name="Warning Text 35 2" xfId="11050"/>
    <cellStyle name="Warning Text 36" xfId="11051"/>
    <cellStyle name="Warning Text 36 2" xfId="11052"/>
    <cellStyle name="Warning Text 37" xfId="11053"/>
    <cellStyle name="Warning Text 37 2" xfId="11054"/>
    <cellStyle name="Warning Text 38" xfId="11055"/>
    <cellStyle name="Warning Text 38 2" xfId="11056"/>
    <cellStyle name="Warning Text 39" xfId="11057"/>
    <cellStyle name="Warning Text 39 2" xfId="11058"/>
    <cellStyle name="Warning Text 4" xfId="11059"/>
    <cellStyle name="Warning Text 4 2" xfId="11060"/>
    <cellStyle name="Warning Text 40" xfId="11061"/>
    <cellStyle name="Warning Text 40 2" xfId="11062"/>
    <cellStyle name="Warning Text 41" xfId="11063"/>
    <cellStyle name="Warning Text 41 2" xfId="11064"/>
    <cellStyle name="Warning Text 42" xfId="11065"/>
    <cellStyle name="Warning Text 42 2" xfId="11066"/>
    <cellStyle name="Warning Text 43" xfId="11067"/>
    <cellStyle name="Warning Text 43 2" xfId="11068"/>
    <cellStyle name="Warning Text 44" xfId="11069"/>
    <cellStyle name="Warning Text 44 2" xfId="11070"/>
    <cellStyle name="Warning Text 45" xfId="11071"/>
    <cellStyle name="Warning Text 45 2" xfId="11072"/>
    <cellStyle name="Warning Text 46" xfId="11073"/>
    <cellStyle name="Warning Text 46 2" xfId="11074"/>
    <cellStyle name="Warning Text 47" xfId="11075"/>
    <cellStyle name="Warning Text 47 2" xfId="11076"/>
    <cellStyle name="Warning Text 48" xfId="11077"/>
    <cellStyle name="Warning Text 48 2" xfId="11078"/>
    <cellStyle name="Warning Text 49" xfId="11079"/>
    <cellStyle name="Warning Text 49 2" xfId="11080"/>
    <cellStyle name="Warning Text 5" xfId="11081"/>
    <cellStyle name="Warning Text 5 2" xfId="11082"/>
    <cellStyle name="Warning Text 50" xfId="11083"/>
    <cellStyle name="Warning Text 50 2" xfId="11084"/>
    <cellStyle name="Warning Text 51" xfId="11085"/>
    <cellStyle name="Warning Text 51 2" xfId="11086"/>
    <cellStyle name="Warning Text 52" xfId="11087"/>
    <cellStyle name="Warning Text 52 2" xfId="11088"/>
    <cellStyle name="Warning Text 53" xfId="11089"/>
    <cellStyle name="Warning Text 53 2" xfId="11090"/>
    <cellStyle name="Warning Text 54" xfId="11091"/>
    <cellStyle name="Warning Text 54 2" xfId="11092"/>
    <cellStyle name="Warning Text 55" xfId="11093"/>
    <cellStyle name="Warning Text 55 2" xfId="11094"/>
    <cellStyle name="Warning Text 56" xfId="11095"/>
    <cellStyle name="Warning Text 56 2" xfId="11096"/>
    <cellStyle name="Warning Text 57" xfId="11097"/>
    <cellStyle name="Warning Text 57 2" xfId="11098"/>
    <cellStyle name="Warning Text 58" xfId="11099"/>
    <cellStyle name="Warning Text 58 2" xfId="11100"/>
    <cellStyle name="Warning Text 59" xfId="11101"/>
    <cellStyle name="Warning Text 59 2" xfId="11102"/>
    <cellStyle name="Warning Text 6" xfId="11103"/>
    <cellStyle name="Warning Text 6 2" xfId="11104"/>
    <cellStyle name="Warning Text 60" xfId="11105"/>
    <cellStyle name="Warning Text 60 2" xfId="11106"/>
    <cellStyle name="Warning Text 61" xfId="11107"/>
    <cellStyle name="Warning Text 61 2" xfId="11108"/>
    <cellStyle name="Warning Text 62" xfId="11109"/>
    <cellStyle name="Warning Text 63" xfId="11110"/>
    <cellStyle name="Warning Text 64" xfId="11111"/>
    <cellStyle name="Warning Text 65" xfId="11112"/>
    <cellStyle name="Warning Text 66" xfId="11113"/>
    <cellStyle name="Warning Text 67" xfId="11114"/>
    <cellStyle name="Warning Text 68" xfId="11115"/>
    <cellStyle name="Warning Text 69" xfId="11116"/>
    <cellStyle name="Warning Text 7" xfId="11117"/>
    <cellStyle name="Warning Text 7 2" xfId="11118"/>
    <cellStyle name="Warning Text 70" xfId="11119"/>
    <cellStyle name="Warning Text 71" xfId="11120"/>
    <cellStyle name="Warning Text 8" xfId="11121"/>
    <cellStyle name="Warning Text 8 2" xfId="11122"/>
    <cellStyle name="Warning Text 9" xfId="11123"/>
    <cellStyle name="Warning Text 9 2" xfId="11124"/>
  </cellStyles>
  <dxfs count="92">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169" formatCode="&quot;$&quot;#,##0"/>
    </dxf>
    <dxf>
      <numFmt numFmtId="3" formatCode="#,##0"/>
    </dxf>
    <dxf>
      <numFmt numFmtId="164" formatCode="0.0%"/>
    </dxf>
    <dxf>
      <numFmt numFmtId="3" formatCode="#,##0"/>
    </dxf>
    <dxf>
      <numFmt numFmtId="164" formatCode="0.0%"/>
    </dxf>
    <dxf>
      <numFmt numFmtId="169" formatCode="&quot;$&quot;#,##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(T)'!$D$20</c:f>
          <c:strCache>
            <c:ptCount val="1"/>
            <c:pt idx="0">
              <c:v>Access
Total Student Headcount</c:v>
            </c:pt>
          </c:strCache>
        </c:strRef>
      </c:tx>
      <c:overlay val="0"/>
      <c:txPr>
        <a:bodyPr/>
        <a:lstStyle/>
        <a:p>
          <a:pPr>
            <a:defRPr sz="1400"/>
          </a:pPr>
          <a:endParaRPr lang="en-US"/>
        </a:p>
      </c:txPr>
    </c:title>
    <c:autoTitleDeleted val="0"/>
    <c:plotArea>
      <c:layout/>
      <c:lineChart>
        <c:grouping val="standard"/>
        <c:varyColors val="0"/>
        <c:ser>
          <c:idx val="0"/>
          <c:order val="0"/>
          <c:tx>
            <c:strRef>
              <c:f>'SUNY Excels Graphics (T)'!$G$22</c:f>
              <c:strCache>
                <c:ptCount val="1"/>
                <c:pt idx="0">
                  <c:v>Value</c:v>
                </c:pt>
              </c:strCache>
            </c:strRef>
          </c:tx>
          <c:marker>
            <c:symbol val="none"/>
          </c:marker>
          <c:cat>
            <c:strRef>
              <c:f>'SUNY Excels Graphics (T)'!$F$23:$F$31</c:f>
              <c:strCache>
                <c:ptCount val="6"/>
                <c:pt idx="0">
                  <c:v>2009</c:v>
                </c:pt>
                <c:pt idx="1">
                  <c:v>2010</c:v>
                </c:pt>
                <c:pt idx="2">
                  <c:v>2011</c:v>
                </c:pt>
                <c:pt idx="3">
                  <c:v>2012</c:v>
                </c:pt>
                <c:pt idx="4">
                  <c:v>2013</c:v>
                </c:pt>
                <c:pt idx="5">
                  <c:v>2014</c:v>
                </c:pt>
              </c:strCache>
            </c:strRef>
          </c:cat>
          <c:val>
            <c:numRef>
              <c:f>'SUNY Excels Graphics (T)'!$G$23:$G$31</c:f>
              <c:numCache>
                <c:formatCode>_(* #,##0_);_(* \(#,##0\);_(* "-"??_);_(@_)</c:formatCode>
                <c:ptCount val="6"/>
                <c:pt idx="0">
                  <c:v>3320</c:v>
                </c:pt>
                <c:pt idx="1">
                  <c:v>3655</c:v>
                </c:pt>
                <c:pt idx="2">
                  <c:v>3825</c:v>
                </c:pt>
                <c:pt idx="3">
                  <c:v>3780</c:v>
                </c:pt>
                <c:pt idx="4">
                  <c:v>3512</c:v>
                </c:pt>
                <c:pt idx="5">
                  <c:v>3282</c:v>
                </c:pt>
              </c:numCache>
            </c:numRef>
          </c:val>
          <c:smooth val="0"/>
        </c:ser>
        <c:dLbls>
          <c:showLegendKey val="0"/>
          <c:showVal val="0"/>
          <c:showCatName val="0"/>
          <c:showSerName val="0"/>
          <c:showPercent val="0"/>
          <c:showBubbleSize val="0"/>
        </c:dLbls>
        <c:smooth val="0"/>
        <c:axId val="120003296"/>
        <c:axId val="120003856"/>
      </c:lineChart>
      <c:catAx>
        <c:axId val="120003296"/>
        <c:scaling>
          <c:orientation val="minMax"/>
        </c:scaling>
        <c:delete val="0"/>
        <c:axPos val="b"/>
        <c:title>
          <c:tx>
            <c:strRef>
              <c:f>'SUNY Excels Graphics (T)'!$D$19</c:f>
              <c:strCache>
                <c:ptCount val="1"/>
                <c:pt idx="0">
                  <c:v>Fall Semester</c:v>
                </c:pt>
              </c:strCache>
            </c:strRef>
          </c:tx>
          <c:overlay val="0"/>
        </c:title>
        <c:numFmt formatCode="General" sourceLinked="1"/>
        <c:majorTickMark val="none"/>
        <c:minorTickMark val="none"/>
        <c:tickLblPos val="nextTo"/>
        <c:crossAx val="120003856"/>
        <c:crosses val="autoZero"/>
        <c:auto val="1"/>
        <c:lblAlgn val="ctr"/>
        <c:lblOffset val="100"/>
        <c:noMultiLvlLbl val="0"/>
      </c:catAx>
      <c:valAx>
        <c:axId val="120003856"/>
        <c:scaling>
          <c:orientation val="minMax"/>
          <c:max val="8000"/>
          <c:min val="0"/>
        </c:scaling>
        <c:delete val="0"/>
        <c:axPos val="l"/>
        <c:numFmt formatCode="#,##0" sourceLinked="0"/>
        <c:majorTickMark val="out"/>
        <c:minorTickMark val="none"/>
        <c:tickLblPos val="nextTo"/>
        <c:crossAx val="120003296"/>
        <c:crosses val="autoZero"/>
        <c:crossBetween val="between"/>
        <c:majorUnit val="2000"/>
      </c:valAx>
    </c:plotArea>
    <c:plotVisOnly val="1"/>
    <c:dispBlanksAs val="gap"/>
    <c:showDLblsOverMax val="0"/>
  </c:chart>
  <c:spPr>
    <a:solidFill>
      <a:sysClr val="window" lastClr="FFFFFF"/>
    </a:solidFill>
  </c:spPr>
  <c:printSettings>
    <c:headerFooter/>
    <c:pageMargins b="0.75000000000001077" l="0.70000000000000062" r="0.70000000000000062" t="0.750000000000010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en-US"/>
              <a:t>Success
Default Rates - Comm Colleges</a:t>
            </a:r>
          </a:p>
        </c:rich>
      </c:tx>
      <c:overlay val="0"/>
    </c:title>
    <c:autoTitleDeleted val="0"/>
    <c:plotArea>
      <c:layout>
        <c:manualLayout>
          <c:layoutTarget val="inner"/>
          <c:xMode val="edge"/>
          <c:yMode val="edge"/>
          <c:x val="0.10212943132962142"/>
          <c:y val="0.19446765571424721"/>
          <c:w val="0.86389519728820963"/>
          <c:h val="0.60211230054807163"/>
        </c:manualLayout>
      </c:layout>
      <c:barChart>
        <c:barDir val="col"/>
        <c:grouping val="clustered"/>
        <c:varyColors val="0"/>
        <c:ser>
          <c:idx val="0"/>
          <c:order val="0"/>
          <c:tx>
            <c:strRef>
              <c:f>'SUNY Excels Graphics (T)'!$R$86</c:f>
              <c:strCache>
                <c:ptCount val="1"/>
                <c:pt idx="0">
                  <c:v>2009-10</c:v>
                </c:pt>
              </c:strCache>
            </c:strRef>
          </c:tx>
          <c:spPr>
            <a:solidFill>
              <a:schemeClr val="tx2">
                <a:lumMod val="60000"/>
                <a:lumOff val="40000"/>
              </a:schemeClr>
            </a:solidFill>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(T)'!$V$85</c:f>
              <c:strCache>
                <c:ptCount val="1"/>
                <c:pt idx="0">
                  <c:v>Value</c:v>
                </c:pt>
              </c:strCache>
            </c:strRef>
          </c:cat>
          <c:val>
            <c:numRef>
              <c:f>'SUNY Excels Graphics (T)'!$V$86</c:f>
              <c:numCache>
                <c:formatCode>0.00</c:formatCode>
                <c:ptCount val="1"/>
                <c:pt idx="0">
                  <c:v>0.17913189687383235</c:v>
                </c:pt>
              </c:numCache>
            </c:numRef>
          </c:val>
        </c:ser>
        <c:ser>
          <c:idx val="1"/>
          <c:order val="1"/>
          <c:tx>
            <c:strRef>
              <c:f>'SUNY Excels Graphics (T)'!$R$87</c:f>
              <c:strCache>
                <c:ptCount val="1"/>
                <c:pt idx="0">
                  <c:v>2010-11</c:v>
                </c:pt>
              </c:strCache>
            </c:strRef>
          </c:tx>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(T)'!$V$85</c:f>
              <c:strCache>
                <c:ptCount val="1"/>
                <c:pt idx="0">
                  <c:v>Value</c:v>
                </c:pt>
              </c:strCache>
            </c:strRef>
          </c:cat>
          <c:val>
            <c:numRef>
              <c:f>'SUNY Excels Graphics (T)'!$V$87</c:f>
              <c:numCache>
                <c:formatCode>0.00</c:formatCode>
                <c:ptCount val="1"/>
                <c:pt idx="0">
                  <c:v>0.19739167017248632</c:v>
                </c:pt>
              </c:numCache>
            </c:numRef>
          </c:val>
        </c:ser>
        <c:ser>
          <c:idx val="2"/>
          <c:order val="2"/>
          <c:tx>
            <c:strRef>
              <c:f>'SUNY Excels Graphics (T)'!$R$88</c:f>
              <c:strCache>
                <c:ptCount val="1"/>
                <c:pt idx="0">
                  <c:v>2011-12</c:v>
                </c:pt>
              </c:strCache>
            </c:strRef>
          </c:tx>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(T)'!$V$85</c:f>
              <c:strCache>
                <c:ptCount val="1"/>
                <c:pt idx="0">
                  <c:v>Value</c:v>
                </c:pt>
              </c:strCache>
            </c:strRef>
          </c:cat>
          <c:val>
            <c:numRef>
              <c:f>'SUNY Excels Graphics (T)'!$V$88</c:f>
              <c:numCache>
                <c:formatCode>0.00</c:formatCode>
                <c:ptCount val="1"/>
                <c:pt idx="0">
                  <c:v>0.17384615384615384</c:v>
                </c:pt>
              </c:numCache>
            </c:numRef>
          </c:val>
        </c:ser>
        <c:dLbls>
          <c:showLegendKey val="0"/>
          <c:showVal val="1"/>
          <c:showCatName val="0"/>
          <c:showSerName val="0"/>
          <c:showPercent val="0"/>
          <c:showBubbleSize val="0"/>
        </c:dLbls>
        <c:gapWidth val="50"/>
        <c:overlap val="-15"/>
        <c:axId val="300907264"/>
        <c:axId val="300907824"/>
      </c:barChart>
      <c:catAx>
        <c:axId val="300907264"/>
        <c:scaling>
          <c:orientation val="minMax"/>
        </c:scaling>
        <c:delete val="0"/>
        <c:axPos val="b"/>
        <c:title>
          <c:tx>
            <c:strRef>
              <c:f>'SUNY Excels Graphics (T)'!$M$82</c:f>
              <c:strCache>
                <c:ptCount val="1"/>
                <c:pt idx="0">
                  <c:v>Fiscal Year</c:v>
                </c:pt>
              </c:strCache>
            </c:strRef>
          </c:tx>
          <c:overlay val="0"/>
        </c:title>
        <c:numFmt formatCode="General" sourceLinked="1"/>
        <c:majorTickMark val="none"/>
        <c:minorTickMark val="none"/>
        <c:tickLblPos val="none"/>
        <c:spPr>
          <a:ln>
            <a:solidFill>
              <a:sysClr val="windowText" lastClr="000000"/>
            </a:solidFill>
          </a:ln>
        </c:spPr>
        <c:crossAx val="300907824"/>
        <c:crosses val="autoZero"/>
        <c:auto val="1"/>
        <c:lblAlgn val="ctr"/>
        <c:lblOffset val="100"/>
        <c:noMultiLvlLbl val="0"/>
      </c:catAx>
      <c:valAx>
        <c:axId val="300907824"/>
        <c:scaling>
          <c:orientation val="minMax"/>
          <c:max val="0.25"/>
          <c:min val="0"/>
        </c:scaling>
        <c:delete val="0"/>
        <c:axPos val="l"/>
        <c:numFmt formatCode="0%" sourceLinked="0"/>
        <c:majorTickMark val="out"/>
        <c:minorTickMark val="none"/>
        <c:tickLblPos val="nextTo"/>
        <c:crossAx val="300907264"/>
        <c:crosses val="autoZero"/>
        <c:crossBetween val="between"/>
        <c:majorUnit val="0.05"/>
      </c:valAx>
    </c:plotArea>
    <c:legend>
      <c:legendPos val="b"/>
      <c:overlay val="0"/>
    </c:legend>
    <c:plotVisOnly val="1"/>
    <c:dispBlanksAs val="gap"/>
    <c:showDLblsOverMax val="0"/>
  </c:chart>
  <c:spPr>
    <a:solidFill>
      <a:sysClr val="window" lastClr="FFFFFF"/>
    </a:solidFill>
  </c:spPr>
  <c:printSettings>
    <c:headerFooter/>
    <c:pageMargins b="0.75000000000001121" l="0.70000000000000062" r="0.70000000000000062" t="0.75000000000001121"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(T)'!$S$41</c:f>
          <c:strCache>
            <c:ptCount val="1"/>
            <c:pt idx="0">
              <c:v>Completion
6-year Baccalaureate Graduation Rate</c:v>
            </c:pt>
          </c:strCache>
        </c:strRef>
      </c:tx>
      <c:overlay val="0"/>
      <c:txPr>
        <a:bodyPr/>
        <a:lstStyle/>
        <a:p>
          <a:pPr>
            <a:defRPr sz="1400"/>
          </a:pPr>
          <a:endParaRPr lang="en-US"/>
        </a:p>
      </c:txPr>
    </c:title>
    <c:autoTitleDeleted val="0"/>
    <c:plotArea>
      <c:layout/>
      <c:lineChart>
        <c:grouping val="standard"/>
        <c:varyColors val="0"/>
        <c:ser>
          <c:idx val="0"/>
          <c:order val="0"/>
          <c:marker>
            <c:symbol val="none"/>
          </c:marker>
          <c:dLbls>
            <c:delete val="1"/>
          </c:dLbls>
          <c:cat>
            <c:strRef>
              <c:f>'SUNY Excels Graphics (T)'!$R$44:$R$48</c:f>
              <c:strCache>
                <c:ptCount val="5"/>
                <c:pt idx="0">
                  <c:v>2009-10</c:v>
                </c:pt>
                <c:pt idx="1">
                  <c:v>2010-11</c:v>
                </c:pt>
                <c:pt idx="2">
                  <c:v>2011-12</c:v>
                </c:pt>
                <c:pt idx="3">
                  <c:v>2012-13</c:v>
                </c:pt>
                <c:pt idx="4">
                  <c:v>2013-14</c:v>
                </c:pt>
              </c:strCache>
            </c:strRef>
          </c:cat>
          <c:val>
            <c:numRef>
              <c:f>'SUNY Excels Graphics (T)'!$V$44:$V$48</c:f>
              <c:numCache>
                <c:formatCode>_(* #,##0_);_(* \(#,##0\);_(* "-"??_);_(@_)</c:formatCode>
                <c:ptCount val="5"/>
                <c:pt idx="0">
                  <c:v>0.39473684210526316</c:v>
                </c:pt>
                <c:pt idx="1">
                  <c:v>0.29729729729729731</c:v>
                </c:pt>
                <c:pt idx="2">
                  <c:v>0.32142857142857145</c:v>
                </c:pt>
                <c:pt idx="3">
                  <c:v>0.2857142857142857</c:v>
                </c:pt>
                <c:pt idx="4">
                  <c:v>0.30666666666666664</c:v>
                </c:pt>
              </c:numCache>
            </c:numRef>
          </c:val>
          <c:smooth val="0"/>
        </c:ser>
        <c:ser>
          <c:idx val="1"/>
          <c:order val="1"/>
          <c:spPr>
            <a:ln>
              <a:solidFill>
                <a:sysClr val="windowText" lastClr="000000"/>
              </a:solidFill>
              <a:prstDash val="sysDash"/>
            </a:ln>
          </c:spPr>
          <c:marker>
            <c:symbol val="none"/>
          </c:marker>
          <c:dLbls>
            <c:delete val="1"/>
          </c:dLbls>
          <c:cat>
            <c:strRef>
              <c:f>'SUNY Excels Graphics (T)'!$R$44:$R$48</c:f>
              <c:strCache>
                <c:ptCount val="5"/>
                <c:pt idx="0">
                  <c:v>2009-10</c:v>
                </c:pt>
                <c:pt idx="1">
                  <c:v>2010-11</c:v>
                </c:pt>
                <c:pt idx="2">
                  <c:v>2011-12</c:v>
                </c:pt>
                <c:pt idx="3">
                  <c:v>2012-13</c:v>
                </c:pt>
                <c:pt idx="4">
                  <c:v>2013-14</c:v>
                </c:pt>
              </c:strCache>
            </c:strRef>
          </c:cat>
          <c:val>
            <c:numRef>
              <c:f>'SUNY Excels Graphics (T)'!$W$44:$W$48</c:f>
              <c:numCache>
                <c:formatCode>0.0%</c:formatCode>
                <c:ptCount val="5"/>
                <c:pt idx="0">
                  <c:v>0.55800000000000005</c:v>
                </c:pt>
                <c:pt idx="1">
                  <c:v>0.56100000000000005</c:v>
                </c:pt>
                <c:pt idx="2">
                  <c:v>0.56599999999999995</c:v>
                </c:pt>
                <c:pt idx="3">
                  <c:v>0.57199999999999995</c:v>
                </c:pt>
                <c:pt idx="4">
                  <c:v>0.57699999999999996</c:v>
                </c:pt>
              </c:numCache>
            </c:numRef>
          </c:val>
          <c:smooth val="0"/>
        </c:ser>
        <c:dLbls>
          <c:showLegendKey val="0"/>
          <c:showVal val="1"/>
          <c:showCatName val="0"/>
          <c:showSerName val="0"/>
          <c:showPercent val="0"/>
          <c:showBubbleSize val="0"/>
        </c:dLbls>
        <c:smooth val="0"/>
        <c:axId val="300911184"/>
        <c:axId val="301071296"/>
      </c:lineChart>
      <c:catAx>
        <c:axId val="300911184"/>
        <c:scaling>
          <c:orientation val="minMax"/>
        </c:scaling>
        <c:delete val="0"/>
        <c:axPos val="b"/>
        <c:title>
          <c:tx>
            <c:strRef>
              <c:f>'SUNY Excels Graphics (T)'!$M$40</c:f>
              <c:strCache>
                <c:ptCount val="1"/>
                <c:pt idx="0">
                  <c:v>Academic Year</c:v>
                </c:pt>
              </c:strCache>
            </c:strRef>
          </c:tx>
          <c:overlay val="0"/>
        </c:title>
        <c:numFmt formatCode="General" sourceLinked="1"/>
        <c:majorTickMark val="none"/>
        <c:minorTickMark val="none"/>
        <c:tickLblPos val="nextTo"/>
        <c:crossAx val="301071296"/>
        <c:crosses val="autoZero"/>
        <c:auto val="1"/>
        <c:lblAlgn val="ctr"/>
        <c:lblOffset val="100"/>
        <c:noMultiLvlLbl val="0"/>
      </c:catAx>
      <c:valAx>
        <c:axId val="301071296"/>
        <c:scaling>
          <c:orientation val="minMax"/>
          <c:max val="0.65000000000000135"/>
          <c:min val="0.25"/>
        </c:scaling>
        <c:delete val="0"/>
        <c:axPos val="l"/>
        <c:numFmt formatCode="0%" sourceLinked="0"/>
        <c:majorTickMark val="out"/>
        <c:minorTickMark val="none"/>
        <c:tickLblPos val="nextTo"/>
        <c:crossAx val="300911184"/>
        <c:crosses val="autoZero"/>
        <c:crossBetween val="between"/>
        <c:majorUnit val="0.05"/>
      </c:valAx>
    </c:plotArea>
    <c:plotVisOnly val="1"/>
    <c:dispBlanksAs val="gap"/>
    <c:showDLblsOverMax val="0"/>
  </c:chart>
  <c:spPr>
    <a:solidFill>
      <a:sysClr val="window" lastClr="FFFFFF"/>
    </a:solidFill>
  </c:spPr>
  <c:printSettings>
    <c:headerFooter/>
    <c:pageMargins b="0.75000000000001144" l="0.70000000000000062" r="0.70000000000000062" t="0.75000000000001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(T)'!$S$62</c:f>
          <c:strCache>
            <c:ptCount val="1"/>
            <c:pt idx="0">
              <c:v>Completion
Time to Degree (years) - Baccalaurete</c:v>
            </c:pt>
          </c:strCache>
        </c:strRef>
      </c:tx>
      <c:overlay val="0"/>
      <c:txPr>
        <a:bodyPr/>
        <a:lstStyle/>
        <a:p>
          <a:pPr>
            <a:defRPr sz="1400"/>
          </a:pPr>
          <a:endParaRPr lang="en-US"/>
        </a:p>
      </c:txPr>
    </c:title>
    <c:autoTitleDeleted val="0"/>
    <c:plotArea>
      <c:layout/>
      <c:barChart>
        <c:barDir val="col"/>
        <c:grouping val="clustered"/>
        <c:varyColors val="0"/>
        <c:ser>
          <c:idx val="0"/>
          <c:order val="0"/>
          <c:tx>
            <c:strRef>
              <c:f>'SUNY Excels Graphics (T)'!$V$64</c:f>
              <c:strCache>
                <c:ptCount val="1"/>
                <c:pt idx="0">
                  <c:v>Value</c:v>
                </c:pt>
              </c:strCache>
            </c:strRef>
          </c:tx>
          <c:spPr>
            <a:solidFill>
              <a:schemeClr val="tx2">
                <a:lumMod val="60000"/>
                <a:lumOff val="40000"/>
              </a:schemeClr>
            </a:solidFill>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(T)'!$R$65:$R$69</c:f>
              <c:strCache>
                <c:ptCount val="5"/>
                <c:pt idx="0">
                  <c:v>2009-10</c:v>
                </c:pt>
                <c:pt idx="1">
                  <c:v>2010-11</c:v>
                </c:pt>
                <c:pt idx="2">
                  <c:v>2011-12</c:v>
                </c:pt>
                <c:pt idx="3">
                  <c:v>2012-13</c:v>
                </c:pt>
                <c:pt idx="4">
                  <c:v>2013-14</c:v>
                </c:pt>
              </c:strCache>
            </c:strRef>
          </c:cat>
          <c:val>
            <c:numRef>
              <c:f>'SUNY Excels Graphics (T)'!$V$65:$V$69</c:f>
              <c:numCache>
                <c:formatCode>_("$"* #,##0.000_);_("$"* \(#,##0.000\);_("$"* "-"??_);_(@_)</c:formatCode>
                <c:ptCount val="5"/>
                <c:pt idx="0">
                  <c:v>4.7452830188679203</c:v>
                </c:pt>
                <c:pt idx="1">
                  <c:v>4.79213483146067</c:v>
                </c:pt>
                <c:pt idx="2">
                  <c:v>5.0285714285714302</c:v>
                </c:pt>
                <c:pt idx="3">
                  <c:v>4.9960317460317496</c:v>
                </c:pt>
                <c:pt idx="4">
                  <c:v>5.26893939393939</c:v>
                </c:pt>
              </c:numCache>
            </c:numRef>
          </c:val>
        </c:ser>
        <c:dLbls>
          <c:showLegendKey val="0"/>
          <c:showVal val="0"/>
          <c:showCatName val="0"/>
          <c:showSerName val="0"/>
          <c:showPercent val="0"/>
          <c:showBubbleSize val="0"/>
        </c:dLbls>
        <c:gapWidth val="50"/>
        <c:overlap val="-15"/>
        <c:axId val="301074096"/>
        <c:axId val="301074656"/>
      </c:barChart>
      <c:catAx>
        <c:axId val="301074096"/>
        <c:scaling>
          <c:orientation val="minMax"/>
        </c:scaling>
        <c:delete val="0"/>
        <c:axPos val="b"/>
        <c:title>
          <c:tx>
            <c:strRef>
              <c:f>'SUNY Excels Graphics (T)'!$M$61</c:f>
              <c:strCache>
                <c:ptCount val="1"/>
                <c:pt idx="0">
                  <c:v>Academic Year</c:v>
                </c:pt>
              </c:strCache>
            </c:strRef>
          </c:tx>
          <c:overlay val="0"/>
        </c:title>
        <c:numFmt formatCode="General" sourceLinked="1"/>
        <c:majorTickMark val="none"/>
        <c:minorTickMark val="none"/>
        <c:tickLblPos val="nextTo"/>
        <c:crossAx val="301074656"/>
        <c:crosses val="autoZero"/>
        <c:auto val="1"/>
        <c:lblAlgn val="ctr"/>
        <c:lblOffset val="100"/>
        <c:noMultiLvlLbl val="0"/>
      </c:catAx>
      <c:valAx>
        <c:axId val="301074656"/>
        <c:scaling>
          <c:orientation val="minMax"/>
          <c:max val="6"/>
          <c:min val="0"/>
        </c:scaling>
        <c:delete val="0"/>
        <c:axPos val="l"/>
        <c:numFmt formatCode="#,##0" sourceLinked="0"/>
        <c:majorTickMark val="out"/>
        <c:minorTickMark val="none"/>
        <c:tickLblPos val="nextTo"/>
        <c:crossAx val="301074096"/>
        <c:crosses val="autoZero"/>
        <c:crossBetween val="between"/>
        <c:majorUnit val="1"/>
      </c:valAx>
    </c:plotArea>
    <c:plotVisOnly val="1"/>
    <c:dispBlanksAs val="gap"/>
    <c:showDLblsOverMax val="0"/>
  </c:chart>
  <c:printSettings>
    <c:headerFooter/>
    <c:pageMargins b="0.75000000000001144" l="0.70000000000000062" r="0.70000000000000062" t="0.75000000000001144"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(T)'!$D$105</c:f>
          <c:strCache>
            <c:ptCount val="1"/>
            <c:pt idx="0">
              <c:v>Success
Percent Faculty Headcount Minority</c:v>
            </c:pt>
          </c:strCache>
        </c:strRef>
      </c:tx>
      <c:overlay val="0"/>
      <c:txPr>
        <a:bodyPr/>
        <a:lstStyle/>
        <a:p>
          <a:pPr>
            <a:defRPr sz="1400"/>
          </a:pPr>
          <a:endParaRPr lang="en-US"/>
        </a:p>
      </c:txPr>
    </c:title>
    <c:autoTitleDeleted val="0"/>
    <c:plotArea>
      <c:layout>
        <c:manualLayout>
          <c:layoutTarget val="inner"/>
          <c:xMode val="edge"/>
          <c:yMode val="edge"/>
          <c:x val="0.10205502090016526"/>
          <c:y val="0.22654858191481009"/>
          <c:w val="0.86399436181588463"/>
          <c:h val="0.61073073785449006"/>
        </c:manualLayout>
      </c:layout>
      <c:barChart>
        <c:barDir val="col"/>
        <c:grouping val="clustered"/>
        <c:varyColors val="0"/>
        <c:ser>
          <c:idx val="0"/>
          <c:order val="0"/>
          <c:tx>
            <c:strRef>
              <c:f>'SUNY Excels Graphics (T)'!$G$107</c:f>
              <c:strCache>
                <c:ptCount val="1"/>
                <c:pt idx="0">
                  <c:v>Value</c:v>
                </c:pt>
              </c:strCache>
            </c:strRef>
          </c:tx>
          <c:spPr>
            <a:solidFill>
              <a:schemeClr val="tx2">
                <a:lumMod val="60000"/>
                <a:lumOff val="40000"/>
              </a:schemeClr>
            </a:solidFill>
          </c:spPr>
          <c:invertIfNegative val="0"/>
          <c:dPt>
            <c:idx val="1"/>
            <c:invertIfNegative val="0"/>
            <c:bubble3D val="0"/>
            <c:spPr>
              <a:solidFill>
                <a:srgbClr val="D1433F"/>
              </a:solidFill>
            </c:spPr>
          </c:dPt>
          <c:dPt>
            <c:idx val="2"/>
            <c:invertIfNegative val="0"/>
            <c:bubble3D val="0"/>
            <c:spPr>
              <a:solidFill>
                <a:srgbClr val="A1CA4D"/>
              </a:solidFill>
            </c:spPr>
          </c:dPt>
          <c:dPt>
            <c:idx val="3"/>
            <c:invertIfNegative val="0"/>
            <c:bubble3D val="0"/>
            <c:spPr>
              <a:solidFill>
                <a:srgbClr val="825FAD"/>
              </a:solidFill>
            </c:spPr>
          </c:dPt>
          <c:dPt>
            <c:idx val="4"/>
            <c:invertIfNegative val="0"/>
            <c:bubble3D val="0"/>
            <c:spPr>
              <a:solidFill>
                <a:srgbClr val="37ADCC"/>
              </a:solidFill>
            </c:spPr>
          </c:dPt>
          <c:dLbls>
            <c:dLbl>
              <c:idx val="1"/>
              <c:layout>
                <c:manualLayout>
                  <c:x val="2.776405335279879E-3"/>
                  <c:y val="8.9401451970803295E-3"/>
                </c:manualLayout>
              </c:layout>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453602653467922E-4"/>
                  <c:y val="4.7790653019871392E-3"/>
                </c:manualLayout>
              </c:layout>
              <c:tx>
                <c:rich>
                  <a:bodyPr/>
                  <a:lstStyle/>
                  <a:p>
                    <a:r>
                      <a:rPr lang="en-US"/>
                      <a:t>n/a</a:t>
                    </a:r>
                  </a:p>
                </c:rich>
              </c:tx>
              <c:dLblPos val="outEnd"/>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(T)'!$C$108:$C$112</c:f>
              <c:strCache>
                <c:ptCount val="5"/>
                <c:pt idx="0">
                  <c:v>2009-10</c:v>
                </c:pt>
                <c:pt idx="1">
                  <c:v>2010-11</c:v>
                </c:pt>
                <c:pt idx="2">
                  <c:v>2011-12</c:v>
                </c:pt>
                <c:pt idx="3">
                  <c:v>2012-13</c:v>
                </c:pt>
                <c:pt idx="4">
                  <c:v>2013-14</c:v>
                </c:pt>
              </c:strCache>
            </c:strRef>
          </c:cat>
          <c:val>
            <c:numRef>
              <c:f>'SUNY Excels Graphics (T)'!$G$108:$G$112</c:f>
              <c:numCache>
                <c:formatCode>General</c:formatCode>
                <c:ptCount val="5"/>
                <c:pt idx="0">
                  <c:v>7.0796460176991149E-2</c:v>
                </c:pt>
                <c:pt idx="1">
                  <c:v>0</c:v>
                </c:pt>
                <c:pt idx="2">
                  <c:v>6.8965517241379309E-2</c:v>
                </c:pt>
                <c:pt idx="3">
                  <c:v>0</c:v>
                </c:pt>
                <c:pt idx="4">
                  <c:v>0.12213740458015267</c:v>
                </c:pt>
              </c:numCache>
            </c:numRef>
          </c:val>
        </c:ser>
        <c:dLbls>
          <c:showLegendKey val="0"/>
          <c:showVal val="1"/>
          <c:showCatName val="0"/>
          <c:showSerName val="0"/>
          <c:showPercent val="0"/>
          <c:showBubbleSize val="0"/>
        </c:dLbls>
        <c:gapWidth val="15"/>
        <c:overlap val="-15"/>
        <c:axId val="301078016"/>
        <c:axId val="301078576"/>
      </c:barChart>
      <c:lineChart>
        <c:grouping val="standard"/>
        <c:varyColors val="0"/>
        <c:ser>
          <c:idx val="1"/>
          <c:order val="1"/>
          <c:tx>
            <c:strRef>
              <c:f>'SUNY Excels Graphics (T)'!$H$107</c:f>
              <c:strCache>
                <c:ptCount val="1"/>
                <c:pt idx="0">
                  <c:v>National</c:v>
                </c:pt>
              </c:strCache>
            </c:strRef>
          </c:tx>
          <c:spPr>
            <a:ln>
              <a:solidFill>
                <a:prstClr val="black"/>
              </a:solidFill>
              <a:prstDash val="sysDash"/>
            </a:ln>
          </c:spPr>
          <c:marker>
            <c:symbol val="none"/>
          </c:marker>
          <c:val>
            <c:numRef>
              <c:f>'SUNY Excels Graphics (T)'!$H$108:$H$111</c:f>
              <c:numCache>
                <c:formatCode>General</c:formatCode>
                <c:ptCount val="4"/>
                <c:pt idx="0">
                  <c:v>0.192</c:v>
                </c:pt>
                <c:pt idx="2">
                  <c:v>0.20699999999999999</c:v>
                </c:pt>
              </c:numCache>
            </c:numRef>
          </c:val>
          <c:smooth val="0"/>
        </c:ser>
        <c:dLbls>
          <c:showLegendKey val="0"/>
          <c:showVal val="0"/>
          <c:showCatName val="0"/>
          <c:showSerName val="0"/>
          <c:showPercent val="0"/>
          <c:showBubbleSize val="0"/>
        </c:dLbls>
        <c:marker val="1"/>
        <c:smooth val="0"/>
        <c:axId val="301231456"/>
        <c:axId val="301230896"/>
      </c:lineChart>
      <c:catAx>
        <c:axId val="301078016"/>
        <c:scaling>
          <c:orientation val="minMax"/>
        </c:scaling>
        <c:delete val="0"/>
        <c:axPos val="b"/>
        <c:title>
          <c:tx>
            <c:strRef>
              <c:f>'SUNY Excels Graphics (T)'!$D$104</c:f>
              <c:strCache>
                <c:ptCount val="1"/>
                <c:pt idx="0">
                  <c:v>Fall Semester</c:v>
                </c:pt>
              </c:strCache>
            </c:strRef>
          </c:tx>
          <c:overlay val="0"/>
        </c:title>
        <c:numFmt formatCode="General" sourceLinked="1"/>
        <c:majorTickMark val="none"/>
        <c:minorTickMark val="none"/>
        <c:tickLblPos val="none"/>
        <c:spPr>
          <a:ln>
            <a:solidFill>
              <a:schemeClr val="dk1">
                <a:shade val="95000"/>
                <a:satMod val="105000"/>
              </a:schemeClr>
            </a:solidFill>
          </a:ln>
        </c:spPr>
        <c:crossAx val="301078576"/>
        <c:crosses val="autoZero"/>
        <c:auto val="1"/>
        <c:lblAlgn val="ctr"/>
        <c:lblOffset val="150"/>
        <c:noMultiLvlLbl val="0"/>
      </c:catAx>
      <c:valAx>
        <c:axId val="301078576"/>
        <c:scaling>
          <c:orientation val="minMax"/>
          <c:max val="0.21000000000000021"/>
          <c:min val="0"/>
        </c:scaling>
        <c:delete val="0"/>
        <c:axPos val="l"/>
        <c:numFmt formatCode="0%" sourceLinked="0"/>
        <c:majorTickMark val="out"/>
        <c:minorTickMark val="none"/>
        <c:tickLblPos val="nextTo"/>
        <c:crossAx val="301078016"/>
        <c:crosses val="autoZero"/>
        <c:crossBetween val="between"/>
        <c:majorUnit val="2.0000000000000011E-2"/>
      </c:valAx>
      <c:valAx>
        <c:axId val="301230896"/>
        <c:scaling>
          <c:orientation val="minMax"/>
          <c:max val="0.21000000000000021"/>
          <c:min val="0.1"/>
        </c:scaling>
        <c:delete val="1"/>
        <c:axPos val="r"/>
        <c:numFmt formatCode="General" sourceLinked="1"/>
        <c:majorTickMark val="none"/>
        <c:minorTickMark val="none"/>
        <c:tickLblPos val="none"/>
        <c:crossAx val="301231456"/>
        <c:crosses val="max"/>
        <c:crossBetween val="between"/>
        <c:majorUnit val="2.0000000000000011E-2"/>
      </c:valAx>
      <c:catAx>
        <c:axId val="301231456"/>
        <c:scaling>
          <c:orientation val="minMax"/>
        </c:scaling>
        <c:delete val="1"/>
        <c:axPos val="b"/>
        <c:majorTickMark val="out"/>
        <c:minorTickMark val="none"/>
        <c:tickLblPos val="none"/>
        <c:crossAx val="301230896"/>
        <c:crosses val="autoZero"/>
        <c:auto val="1"/>
        <c:lblAlgn val="ctr"/>
        <c:lblOffset val="100"/>
        <c:noMultiLvlLbl val="0"/>
      </c:catAx>
      <c:spPr>
        <a:noFill/>
        <a:effectLst>
          <a:outerShdw blurRad="40005" dist="50800" dir="5400000" algn="ctr" rotWithShape="0">
            <a:srgbClr val="000000">
              <a:alpha val="35000"/>
            </a:srgbClr>
          </a:outerShdw>
        </a:effectLst>
      </c:spPr>
    </c:plotArea>
    <c:plotVisOnly val="1"/>
    <c:dispBlanksAs val="span"/>
    <c:showDLblsOverMax val="0"/>
  </c:chart>
  <c:spPr>
    <a:solidFill>
      <a:sysClr val="window" lastClr="FFFFFF"/>
    </a:solidFill>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(T)'!$M$105</c:f>
          <c:strCache>
            <c:ptCount val="1"/>
            <c:pt idx="0">
              <c:v>Inquiry
Sponsored Activity - Total ($millions)</c:v>
            </c:pt>
          </c:strCache>
        </c:strRef>
      </c:tx>
      <c:overlay val="0"/>
      <c:txPr>
        <a:bodyPr/>
        <a:lstStyle/>
        <a:p>
          <a:pPr>
            <a:defRPr sz="1400"/>
          </a:pPr>
          <a:endParaRPr lang="en-US"/>
        </a:p>
      </c:txPr>
    </c:title>
    <c:autoTitleDeleted val="0"/>
    <c:plotArea>
      <c:layout/>
      <c:lineChart>
        <c:grouping val="standard"/>
        <c:varyColors val="0"/>
        <c:ser>
          <c:idx val="0"/>
          <c:order val="0"/>
          <c:tx>
            <c:strRef>
              <c:f>'SUNY Excels Graphics (T)'!$P$107</c:f>
              <c:strCache>
                <c:ptCount val="1"/>
                <c:pt idx="0">
                  <c:v>Value</c:v>
                </c:pt>
              </c:strCache>
            </c:strRef>
          </c:tx>
          <c:marker>
            <c:symbol val="none"/>
          </c:marker>
          <c:cat>
            <c:strRef>
              <c:f>'SUNY Excels Graphics (T)'!$L$108:$L$112</c:f>
              <c:strCache>
                <c:ptCount val="5"/>
                <c:pt idx="0">
                  <c:v>2009-10</c:v>
                </c:pt>
                <c:pt idx="1">
                  <c:v>2010-11</c:v>
                </c:pt>
                <c:pt idx="2">
                  <c:v>2011-12</c:v>
                </c:pt>
                <c:pt idx="3">
                  <c:v>2012-13</c:v>
                </c:pt>
                <c:pt idx="4">
                  <c:v>2013-14</c:v>
                </c:pt>
              </c:strCache>
            </c:strRef>
          </c:cat>
          <c:val>
            <c:numRef>
              <c:f>'SUNY Excels Graphics (T)'!$P$108:$P$112</c:f>
              <c:numCache>
                <c:formatCode>General</c:formatCode>
                <c:ptCount val="5"/>
                <c:pt idx="0">
                  <c:v>1.7608545</c:v>
                </c:pt>
                <c:pt idx="1">
                  <c:v>1.8336411400000001</c:v>
                </c:pt>
                <c:pt idx="2">
                  <c:v>2.1643140699999996</c:v>
                </c:pt>
                <c:pt idx="3">
                  <c:v>1.7731520700000003</c:v>
                </c:pt>
                <c:pt idx="4">
                  <c:v>1.4125999299999998</c:v>
                </c:pt>
              </c:numCache>
            </c:numRef>
          </c:val>
          <c:smooth val="0"/>
        </c:ser>
        <c:dLbls>
          <c:showLegendKey val="0"/>
          <c:showVal val="0"/>
          <c:showCatName val="0"/>
          <c:showSerName val="0"/>
          <c:showPercent val="0"/>
          <c:showBubbleSize val="0"/>
        </c:dLbls>
        <c:smooth val="0"/>
        <c:axId val="301234256"/>
        <c:axId val="301234816"/>
      </c:lineChart>
      <c:catAx>
        <c:axId val="301234256"/>
        <c:scaling>
          <c:orientation val="minMax"/>
        </c:scaling>
        <c:delete val="0"/>
        <c:axPos val="b"/>
        <c:title>
          <c:tx>
            <c:strRef>
              <c:f>'SUNY Excels Graphics (T)'!$M$104</c:f>
              <c:strCache>
                <c:ptCount val="1"/>
                <c:pt idx="0">
                  <c:v>Fiscal Year</c:v>
                </c:pt>
              </c:strCache>
            </c:strRef>
          </c:tx>
          <c:overlay val="0"/>
        </c:title>
        <c:numFmt formatCode="General" sourceLinked="1"/>
        <c:majorTickMark val="none"/>
        <c:minorTickMark val="none"/>
        <c:tickLblPos val="nextTo"/>
        <c:crossAx val="301234816"/>
        <c:crosses val="autoZero"/>
        <c:auto val="1"/>
        <c:lblAlgn val="ctr"/>
        <c:lblOffset val="100"/>
        <c:noMultiLvlLbl val="0"/>
      </c:catAx>
      <c:valAx>
        <c:axId val="301234816"/>
        <c:scaling>
          <c:orientation val="minMax"/>
          <c:max val="5"/>
          <c:min val="0"/>
        </c:scaling>
        <c:delete val="0"/>
        <c:axPos val="l"/>
        <c:numFmt formatCode="&quot;$&quot;#,##0" sourceLinked="0"/>
        <c:majorTickMark val="out"/>
        <c:minorTickMark val="none"/>
        <c:tickLblPos val="nextTo"/>
        <c:crossAx val="301234256"/>
        <c:crosses val="autoZero"/>
        <c:crossBetween val="between"/>
        <c:majorUnit val="1"/>
      </c:valAx>
    </c:plotArea>
    <c:plotVisOnly val="1"/>
    <c:dispBlanksAs val="gap"/>
    <c:showDLblsOverMax val="0"/>
  </c:chart>
  <c:printSettings>
    <c:headerFooter/>
    <c:pageMargins b="0.75000000000001144" l="0.70000000000000062" r="0.70000000000000062" t="0.75000000000001144"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(T)'!$S$105</c:f>
          <c:strCache>
            <c:ptCount val="1"/>
            <c:pt idx="0">
              <c:v>Engagement
Funds Raised ($millions)</c:v>
            </c:pt>
          </c:strCache>
        </c:strRef>
      </c:tx>
      <c:overlay val="0"/>
      <c:txPr>
        <a:bodyPr/>
        <a:lstStyle/>
        <a:p>
          <a:pPr>
            <a:defRPr sz="1400"/>
          </a:pPr>
          <a:endParaRPr lang="en-US"/>
        </a:p>
      </c:txPr>
    </c:title>
    <c:autoTitleDeleted val="0"/>
    <c:plotArea>
      <c:layout/>
      <c:lineChart>
        <c:grouping val="standard"/>
        <c:varyColors val="0"/>
        <c:ser>
          <c:idx val="0"/>
          <c:order val="0"/>
          <c:tx>
            <c:strRef>
              <c:f>'SUNY Excels Graphics (T)'!$V$107</c:f>
              <c:strCache>
                <c:ptCount val="1"/>
                <c:pt idx="0">
                  <c:v>Value</c:v>
                </c:pt>
              </c:strCache>
            </c:strRef>
          </c:tx>
          <c:marker>
            <c:symbol val="none"/>
          </c:marker>
          <c:cat>
            <c:strRef>
              <c:f>'SUNY Excels Graphics (T)'!$R$108:$R$112</c:f>
              <c:strCache>
                <c:ptCount val="5"/>
                <c:pt idx="0">
                  <c:v>2009-10</c:v>
                </c:pt>
                <c:pt idx="1">
                  <c:v>2010-11</c:v>
                </c:pt>
                <c:pt idx="2">
                  <c:v>2011-12</c:v>
                </c:pt>
                <c:pt idx="3">
                  <c:v>2012-13</c:v>
                </c:pt>
                <c:pt idx="4">
                  <c:v>2013-14</c:v>
                </c:pt>
              </c:strCache>
            </c:strRef>
          </c:cat>
          <c:val>
            <c:numRef>
              <c:f>'SUNY Excels Graphics (T)'!$V$108:$V$112</c:f>
              <c:numCache>
                <c:formatCode>_("$"* #,##0.000_);_("$"* \(#,##0.000\);_("$"* "-"??_);_(@_)</c:formatCode>
                <c:ptCount val="5"/>
                <c:pt idx="0">
                  <c:v>0.82609500000000002</c:v>
                </c:pt>
                <c:pt idx="1">
                  <c:v>0.90526300000000004</c:v>
                </c:pt>
                <c:pt idx="2">
                  <c:v>0.65834700000000002</c:v>
                </c:pt>
                <c:pt idx="3">
                  <c:v>1.3655060000000001</c:v>
                </c:pt>
                <c:pt idx="4">
                  <c:v>1.0515129999999999</c:v>
                </c:pt>
              </c:numCache>
            </c:numRef>
          </c:val>
          <c:smooth val="0"/>
        </c:ser>
        <c:dLbls>
          <c:showLegendKey val="0"/>
          <c:showVal val="0"/>
          <c:showCatName val="0"/>
          <c:showSerName val="0"/>
          <c:showPercent val="0"/>
          <c:showBubbleSize val="0"/>
        </c:dLbls>
        <c:smooth val="0"/>
        <c:axId val="301237616"/>
        <c:axId val="301238176"/>
      </c:lineChart>
      <c:catAx>
        <c:axId val="301237616"/>
        <c:scaling>
          <c:orientation val="minMax"/>
        </c:scaling>
        <c:delete val="0"/>
        <c:axPos val="b"/>
        <c:title>
          <c:tx>
            <c:strRef>
              <c:f>'SUNY Excels Graphics (T)'!$S$104</c:f>
              <c:strCache>
                <c:ptCount val="1"/>
                <c:pt idx="0">
                  <c:v>Fiscal Year</c:v>
                </c:pt>
              </c:strCache>
            </c:strRef>
          </c:tx>
          <c:overlay val="0"/>
        </c:title>
        <c:numFmt formatCode="General" sourceLinked="1"/>
        <c:majorTickMark val="none"/>
        <c:minorTickMark val="none"/>
        <c:tickLblPos val="nextTo"/>
        <c:crossAx val="301238176"/>
        <c:crosses val="autoZero"/>
        <c:auto val="1"/>
        <c:lblAlgn val="ctr"/>
        <c:lblOffset val="100"/>
        <c:noMultiLvlLbl val="0"/>
      </c:catAx>
      <c:valAx>
        <c:axId val="301238176"/>
        <c:scaling>
          <c:orientation val="minMax"/>
          <c:max val="5"/>
          <c:min val="0"/>
        </c:scaling>
        <c:delete val="0"/>
        <c:axPos val="l"/>
        <c:numFmt formatCode="&quot;$&quot;#,##0" sourceLinked="0"/>
        <c:majorTickMark val="out"/>
        <c:minorTickMark val="none"/>
        <c:tickLblPos val="nextTo"/>
        <c:crossAx val="301237616"/>
        <c:crosses val="autoZero"/>
        <c:crossBetween val="between"/>
        <c:majorUnit val="1"/>
      </c:valAx>
    </c:plotArea>
    <c:plotVisOnly val="1"/>
    <c:dispBlanksAs val="gap"/>
    <c:showDLblsOverMax val="0"/>
  </c:chart>
  <c:printSettings>
    <c:headerFooter/>
    <c:pageMargins b="0.75000000000001166" l="0.70000000000000062" r="0.70000000000000062" t="0.750000000000011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(T)'!$M$20</c:f>
          <c:strCache>
            <c:ptCount val="1"/>
            <c:pt idx="0">
              <c:v>Access
Percent Student Minority</c:v>
            </c:pt>
          </c:strCache>
        </c:strRef>
      </c:tx>
      <c:overlay val="0"/>
      <c:txPr>
        <a:bodyPr/>
        <a:lstStyle/>
        <a:p>
          <a:pPr>
            <a:defRPr sz="1400"/>
          </a:pPr>
          <a:endParaRPr lang="en-US"/>
        </a:p>
      </c:txPr>
    </c:title>
    <c:autoTitleDeleted val="0"/>
    <c:plotArea>
      <c:layout/>
      <c:lineChart>
        <c:grouping val="standard"/>
        <c:varyColors val="0"/>
        <c:ser>
          <c:idx val="0"/>
          <c:order val="0"/>
          <c:tx>
            <c:strRef>
              <c:f>'SUNY Excels Graphics (T)'!$P$22</c:f>
              <c:strCache>
                <c:ptCount val="1"/>
                <c:pt idx="0">
                  <c:v>Value</c:v>
                </c:pt>
              </c:strCache>
            </c:strRef>
          </c:tx>
          <c:marker>
            <c:symbol val="none"/>
          </c:marker>
          <c:cat>
            <c:strRef>
              <c:f>'SUNY Excels Graphics (T)'!$O$23:$O$28</c:f>
              <c:strCache>
                <c:ptCount val="6"/>
                <c:pt idx="0">
                  <c:v>2009</c:v>
                </c:pt>
                <c:pt idx="1">
                  <c:v>2010</c:v>
                </c:pt>
                <c:pt idx="2">
                  <c:v>2011</c:v>
                </c:pt>
                <c:pt idx="3">
                  <c:v>2012</c:v>
                </c:pt>
                <c:pt idx="4">
                  <c:v>2013</c:v>
                </c:pt>
                <c:pt idx="5">
                  <c:v>2014</c:v>
                </c:pt>
              </c:strCache>
            </c:strRef>
          </c:cat>
          <c:val>
            <c:numRef>
              <c:f>'SUNY Excels Graphics (T)'!$P$23:$P$28</c:f>
              <c:numCache>
                <c:formatCode>General</c:formatCode>
                <c:ptCount val="6"/>
                <c:pt idx="0">
                  <c:v>0.17048192771084336</c:v>
                </c:pt>
                <c:pt idx="1">
                  <c:v>0.16634746922024624</c:v>
                </c:pt>
                <c:pt idx="2">
                  <c:v>0.20941176470588235</c:v>
                </c:pt>
                <c:pt idx="3">
                  <c:v>0.22301587301587303</c:v>
                </c:pt>
                <c:pt idx="4">
                  <c:v>0.24259681093394078</c:v>
                </c:pt>
                <c:pt idx="5">
                  <c:v>0.26477757464960389</c:v>
                </c:pt>
              </c:numCache>
            </c:numRef>
          </c:val>
          <c:smooth val="0"/>
        </c:ser>
        <c:ser>
          <c:idx val="1"/>
          <c:order val="1"/>
          <c:tx>
            <c:strRef>
              <c:f>'SUNY Excels Graphics (T)'!$Q$22</c:f>
              <c:strCache>
                <c:ptCount val="1"/>
                <c:pt idx="0">
                  <c:v>National</c:v>
                </c:pt>
              </c:strCache>
            </c:strRef>
          </c:tx>
          <c:spPr>
            <a:ln>
              <a:prstDash val="sysDash"/>
            </a:ln>
          </c:spPr>
          <c:marker>
            <c:symbol val="none"/>
          </c:marker>
          <c:dPt>
            <c:idx val="1"/>
            <c:bubble3D val="0"/>
            <c:spPr>
              <a:ln>
                <a:solidFill>
                  <a:sysClr val="windowText" lastClr="000000"/>
                </a:solidFill>
                <a:prstDash val="sysDash"/>
              </a:ln>
            </c:spPr>
          </c:dPt>
          <c:dPt>
            <c:idx val="2"/>
            <c:bubble3D val="0"/>
            <c:spPr>
              <a:ln>
                <a:solidFill>
                  <a:sysClr val="windowText" lastClr="000000"/>
                </a:solidFill>
                <a:prstDash val="sysDash"/>
              </a:ln>
            </c:spPr>
          </c:dPt>
          <c:dPt>
            <c:idx val="3"/>
            <c:bubble3D val="0"/>
            <c:spPr>
              <a:ln>
                <a:solidFill>
                  <a:sysClr val="windowText" lastClr="000000"/>
                </a:solidFill>
                <a:prstDash val="sysDash"/>
              </a:ln>
            </c:spPr>
          </c:dPt>
          <c:cat>
            <c:strRef>
              <c:f>'SUNY Excels Graphics (T)'!$O$23:$O$28</c:f>
              <c:strCache>
                <c:ptCount val="6"/>
                <c:pt idx="0">
                  <c:v>2009</c:v>
                </c:pt>
                <c:pt idx="1">
                  <c:v>2010</c:v>
                </c:pt>
                <c:pt idx="2">
                  <c:v>2011</c:v>
                </c:pt>
                <c:pt idx="3">
                  <c:v>2012</c:v>
                </c:pt>
                <c:pt idx="4">
                  <c:v>2013</c:v>
                </c:pt>
                <c:pt idx="5">
                  <c:v>2014</c:v>
                </c:pt>
              </c:strCache>
            </c:strRef>
          </c:cat>
          <c:val>
            <c:numRef>
              <c:f>'SUNY Excels Graphics (T)'!$Q$23:$Q$28</c:f>
              <c:numCache>
                <c:formatCode>0.0%</c:formatCode>
                <c:ptCount val="6"/>
                <c:pt idx="0">
                  <c:v>0.35499999999999998</c:v>
                </c:pt>
                <c:pt idx="1">
                  <c:v>0.373</c:v>
                </c:pt>
                <c:pt idx="2">
                  <c:v>0.38799999999999996</c:v>
                </c:pt>
                <c:pt idx="3">
                  <c:v>0.39700000000000002</c:v>
                </c:pt>
              </c:numCache>
            </c:numRef>
          </c:val>
          <c:smooth val="0"/>
        </c:ser>
        <c:dLbls>
          <c:showLegendKey val="0"/>
          <c:showVal val="0"/>
          <c:showCatName val="0"/>
          <c:showSerName val="0"/>
          <c:showPercent val="0"/>
          <c:showBubbleSize val="0"/>
        </c:dLbls>
        <c:smooth val="0"/>
        <c:axId val="300060992"/>
        <c:axId val="300061552"/>
      </c:lineChart>
      <c:catAx>
        <c:axId val="300060992"/>
        <c:scaling>
          <c:orientation val="minMax"/>
        </c:scaling>
        <c:delete val="0"/>
        <c:axPos val="b"/>
        <c:title>
          <c:tx>
            <c:strRef>
              <c:f>'SUNY Excels Graphics (T)'!$M$19</c:f>
              <c:strCache>
                <c:ptCount val="1"/>
                <c:pt idx="0">
                  <c:v>Fall Semester</c:v>
                </c:pt>
              </c:strCache>
            </c:strRef>
          </c:tx>
          <c:overlay val="0"/>
        </c:title>
        <c:numFmt formatCode="General" sourceLinked="1"/>
        <c:majorTickMark val="none"/>
        <c:minorTickMark val="none"/>
        <c:tickLblPos val="nextTo"/>
        <c:crossAx val="300061552"/>
        <c:crosses val="autoZero"/>
        <c:auto val="1"/>
        <c:lblAlgn val="ctr"/>
        <c:lblOffset val="100"/>
        <c:noMultiLvlLbl val="0"/>
      </c:catAx>
      <c:valAx>
        <c:axId val="300061552"/>
        <c:scaling>
          <c:orientation val="minMax"/>
        </c:scaling>
        <c:delete val="0"/>
        <c:axPos val="l"/>
        <c:numFmt formatCode="0%" sourceLinked="0"/>
        <c:majorTickMark val="out"/>
        <c:minorTickMark val="none"/>
        <c:tickLblPos val="nextTo"/>
        <c:crossAx val="300060992"/>
        <c:crosses val="autoZero"/>
        <c:crossBetween val="between"/>
      </c:valAx>
    </c:plotArea>
    <c:plotVisOnly val="1"/>
    <c:dispBlanksAs val="span"/>
    <c:showDLblsOverMax val="0"/>
  </c:chart>
  <c:spPr>
    <a:solidFill>
      <a:sysClr val="window" lastClr="FFFFFF"/>
    </a:solidFill>
  </c:sp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(T)'!$D$83</c:f>
          <c:strCache>
            <c:ptCount val="1"/>
            <c:pt idx="0">
              <c:v>Success
Default Rates - Campus</c:v>
            </c:pt>
          </c:strCache>
        </c:strRef>
      </c:tx>
      <c:overlay val="0"/>
      <c:txPr>
        <a:bodyPr/>
        <a:lstStyle/>
        <a:p>
          <a:pPr>
            <a:defRPr sz="1400"/>
          </a:pPr>
          <a:endParaRPr lang="en-US"/>
        </a:p>
      </c:txPr>
    </c:title>
    <c:autoTitleDeleted val="0"/>
    <c:plotArea>
      <c:layout>
        <c:manualLayout>
          <c:layoutTarget val="inner"/>
          <c:xMode val="edge"/>
          <c:yMode val="edge"/>
          <c:x val="0.10210196775614723"/>
          <c:y val="0.2069904175314744"/>
          <c:w val="0.86393179716153001"/>
          <c:h val="0.59419761988192932"/>
        </c:manualLayout>
      </c:layout>
      <c:barChart>
        <c:barDir val="col"/>
        <c:grouping val="clustered"/>
        <c:varyColors val="0"/>
        <c:ser>
          <c:idx val="0"/>
          <c:order val="0"/>
          <c:tx>
            <c:strRef>
              <c:f>'SUNY Excels Graphics (T)'!$C$86</c:f>
              <c:strCache>
                <c:ptCount val="1"/>
                <c:pt idx="0">
                  <c:v>2009-10</c:v>
                </c:pt>
              </c:strCache>
            </c:strRef>
          </c:tx>
          <c:spPr>
            <a:solidFill>
              <a:schemeClr val="tx2">
                <a:lumMod val="60000"/>
                <a:lumOff val="40000"/>
              </a:schemeClr>
            </a:solidFill>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(T)'!$G$85</c:f>
              <c:strCache>
                <c:ptCount val="1"/>
                <c:pt idx="0">
                  <c:v>Value</c:v>
                </c:pt>
              </c:strCache>
            </c:strRef>
          </c:cat>
          <c:val>
            <c:numRef>
              <c:f>'SUNY Excels Graphics (T)'!$G$86</c:f>
              <c:numCache>
                <c:formatCode>General</c:formatCode>
                <c:ptCount val="1"/>
                <c:pt idx="0">
                  <c:v>0.14699999999999999</c:v>
                </c:pt>
              </c:numCache>
            </c:numRef>
          </c:val>
        </c:ser>
        <c:ser>
          <c:idx val="1"/>
          <c:order val="1"/>
          <c:tx>
            <c:strRef>
              <c:f>'SUNY Excels Graphics (T)'!$C$87</c:f>
              <c:strCache>
                <c:ptCount val="1"/>
                <c:pt idx="0">
                  <c:v>2010-11</c:v>
                </c:pt>
              </c:strCache>
            </c:strRef>
          </c:tx>
          <c:invertIfNegative val="0"/>
          <c:dLbls>
            <c:numFmt formatCode="0.0%" sourceLinked="0"/>
            <c:spPr>
              <a:noFill/>
              <a:ln>
                <a:noFill/>
              </a:ln>
              <a:effectLst/>
            </c:spPr>
            <c:txPr>
              <a:bodyPr/>
              <a:lstStyle/>
              <a:p>
                <a:pPr>
                  <a:defRPr lang="en-US" sz="1000" b="0"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(T)'!$G$85</c:f>
              <c:strCache>
                <c:ptCount val="1"/>
                <c:pt idx="0">
                  <c:v>Value</c:v>
                </c:pt>
              </c:strCache>
            </c:strRef>
          </c:cat>
          <c:val>
            <c:numRef>
              <c:f>'SUNY Excels Graphics (T)'!$G$87</c:f>
              <c:numCache>
                <c:formatCode>General</c:formatCode>
                <c:ptCount val="1"/>
                <c:pt idx="0">
                  <c:v>0.182</c:v>
                </c:pt>
              </c:numCache>
            </c:numRef>
          </c:val>
        </c:ser>
        <c:ser>
          <c:idx val="2"/>
          <c:order val="2"/>
          <c:tx>
            <c:strRef>
              <c:f>'SUNY Excels Graphics (T)'!$C$88</c:f>
              <c:strCache>
                <c:ptCount val="1"/>
                <c:pt idx="0">
                  <c:v>2011-12</c:v>
                </c:pt>
              </c:strCache>
            </c:strRef>
          </c:tx>
          <c:invertIfNegative val="0"/>
          <c:dLbls>
            <c:numFmt formatCode="0.0%" sourceLinked="0"/>
            <c:spPr>
              <a:noFill/>
              <a:ln>
                <a:noFill/>
              </a:ln>
              <a:effectLst/>
            </c:spPr>
            <c:txPr>
              <a:bodyPr/>
              <a:lstStyle/>
              <a:p>
                <a:pPr>
                  <a:defRPr lang="en-US" sz="1000" b="0"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(T)'!$G$85</c:f>
              <c:strCache>
                <c:ptCount val="1"/>
                <c:pt idx="0">
                  <c:v>Value</c:v>
                </c:pt>
              </c:strCache>
            </c:strRef>
          </c:cat>
          <c:val>
            <c:numRef>
              <c:f>'SUNY Excels Graphics (T)'!$G$88</c:f>
              <c:numCache>
                <c:formatCode>General</c:formatCode>
                <c:ptCount val="1"/>
                <c:pt idx="0">
                  <c:v>0.17399999999999999</c:v>
                </c:pt>
              </c:numCache>
            </c:numRef>
          </c:val>
        </c:ser>
        <c:dLbls>
          <c:showLegendKey val="0"/>
          <c:showVal val="1"/>
          <c:showCatName val="0"/>
          <c:showSerName val="0"/>
          <c:showPercent val="0"/>
          <c:showBubbleSize val="0"/>
        </c:dLbls>
        <c:gapWidth val="50"/>
        <c:overlap val="-15"/>
        <c:axId val="300065472"/>
        <c:axId val="300066032"/>
      </c:barChart>
      <c:catAx>
        <c:axId val="300065472"/>
        <c:scaling>
          <c:orientation val="minMax"/>
        </c:scaling>
        <c:delete val="0"/>
        <c:axPos val="b"/>
        <c:title>
          <c:tx>
            <c:strRef>
              <c:f>'SUNY Excels Graphics (T)'!$D$82</c:f>
              <c:strCache>
                <c:ptCount val="1"/>
                <c:pt idx="0">
                  <c:v>Fiscal Year</c:v>
                </c:pt>
              </c:strCache>
            </c:strRef>
          </c:tx>
          <c:overlay val="0"/>
        </c:title>
        <c:numFmt formatCode="General" sourceLinked="1"/>
        <c:majorTickMark val="none"/>
        <c:minorTickMark val="none"/>
        <c:tickLblPos val="none"/>
        <c:spPr>
          <a:ln>
            <a:solidFill>
              <a:sysClr val="windowText" lastClr="000000"/>
            </a:solidFill>
          </a:ln>
        </c:spPr>
        <c:crossAx val="300066032"/>
        <c:crosses val="autoZero"/>
        <c:auto val="1"/>
        <c:lblAlgn val="ctr"/>
        <c:lblOffset val="100"/>
        <c:noMultiLvlLbl val="0"/>
      </c:catAx>
      <c:valAx>
        <c:axId val="300066032"/>
        <c:scaling>
          <c:orientation val="minMax"/>
          <c:max val="0.25"/>
          <c:min val="0"/>
        </c:scaling>
        <c:delete val="0"/>
        <c:axPos val="l"/>
        <c:numFmt formatCode="0%" sourceLinked="0"/>
        <c:majorTickMark val="out"/>
        <c:minorTickMark val="none"/>
        <c:tickLblPos val="nextTo"/>
        <c:crossAx val="300065472"/>
        <c:crosses val="autoZero"/>
        <c:crossBetween val="between"/>
        <c:majorUnit val="0.05"/>
      </c:valAx>
    </c:plotArea>
    <c:legend>
      <c:legendPos val="b"/>
      <c:overlay val="0"/>
    </c:legend>
    <c:plotVisOnly val="1"/>
    <c:dispBlanksAs val="gap"/>
    <c:showDLblsOverMax val="0"/>
  </c:chart>
  <c:spPr>
    <a:solidFill>
      <a:sysClr val="window" lastClr="FFFFFF"/>
    </a:solidFill>
  </c:spPr>
  <c:printSettings>
    <c:headerFooter/>
    <c:pageMargins b="0.75000000000001144" l="0.70000000000000062" r="0.70000000000000062" t="0.750000000000011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en-US"/>
              <a:t>Success
Default Rates -</a:t>
            </a:r>
            <a:r>
              <a:rPr lang="en-US" baseline="0"/>
              <a:t> </a:t>
            </a:r>
            <a:r>
              <a:rPr lang="en-US"/>
              <a:t>State Operated</a:t>
            </a:r>
          </a:p>
        </c:rich>
      </c:tx>
      <c:overlay val="0"/>
    </c:title>
    <c:autoTitleDeleted val="0"/>
    <c:plotArea>
      <c:layout>
        <c:manualLayout>
          <c:layoutTarget val="inner"/>
          <c:xMode val="edge"/>
          <c:yMode val="edge"/>
          <c:x val="0.10212006821687512"/>
          <c:y val="0.21554859969271614"/>
          <c:w val="0.8639076752252276"/>
          <c:h val="0.5856394377206936"/>
        </c:manualLayout>
      </c:layout>
      <c:barChart>
        <c:barDir val="col"/>
        <c:grouping val="clustered"/>
        <c:varyColors val="0"/>
        <c:ser>
          <c:idx val="0"/>
          <c:order val="0"/>
          <c:tx>
            <c:strRef>
              <c:f>'SUNY Excels Graphics (T)'!$L$86</c:f>
              <c:strCache>
                <c:ptCount val="1"/>
                <c:pt idx="0">
                  <c:v>2009-10</c:v>
                </c:pt>
              </c:strCache>
            </c:strRef>
          </c:tx>
          <c:spPr>
            <a:solidFill>
              <a:schemeClr val="tx2">
                <a:lumMod val="60000"/>
                <a:lumOff val="40000"/>
              </a:schemeClr>
            </a:solidFill>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(T)'!$P$85</c:f>
              <c:strCache>
                <c:ptCount val="1"/>
                <c:pt idx="0">
                  <c:v>Value</c:v>
                </c:pt>
              </c:strCache>
            </c:strRef>
          </c:cat>
          <c:val>
            <c:numRef>
              <c:f>'SUNY Excels Graphics (T)'!$P$86</c:f>
              <c:numCache>
                <c:formatCode>General</c:formatCode>
                <c:ptCount val="1"/>
                <c:pt idx="0">
                  <c:v>7.3925104022191407E-2</c:v>
                </c:pt>
              </c:numCache>
            </c:numRef>
          </c:val>
        </c:ser>
        <c:ser>
          <c:idx val="1"/>
          <c:order val="1"/>
          <c:tx>
            <c:strRef>
              <c:f>'SUNY Excels Graphics (T)'!$L$87</c:f>
              <c:strCache>
                <c:ptCount val="1"/>
                <c:pt idx="0">
                  <c:v>2010-11</c:v>
                </c:pt>
              </c:strCache>
            </c:strRef>
          </c:tx>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(T)'!$P$85</c:f>
              <c:strCache>
                <c:ptCount val="1"/>
                <c:pt idx="0">
                  <c:v>Value</c:v>
                </c:pt>
              </c:strCache>
            </c:strRef>
          </c:cat>
          <c:val>
            <c:numRef>
              <c:f>'SUNY Excels Graphics (T)'!$P$87</c:f>
              <c:numCache>
                <c:formatCode>General</c:formatCode>
                <c:ptCount val="1"/>
                <c:pt idx="0">
                  <c:v>7.9360484535393794E-2</c:v>
                </c:pt>
              </c:numCache>
            </c:numRef>
          </c:val>
        </c:ser>
        <c:ser>
          <c:idx val="2"/>
          <c:order val="2"/>
          <c:tx>
            <c:strRef>
              <c:f>'SUNY Excels Graphics (T)'!$L$88</c:f>
              <c:strCache>
                <c:ptCount val="1"/>
                <c:pt idx="0">
                  <c:v>2011-12</c:v>
                </c:pt>
              </c:strCache>
            </c:strRef>
          </c:tx>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(T)'!$P$85</c:f>
              <c:strCache>
                <c:ptCount val="1"/>
                <c:pt idx="0">
                  <c:v>Value</c:v>
                </c:pt>
              </c:strCache>
            </c:strRef>
          </c:cat>
          <c:val>
            <c:numRef>
              <c:f>'SUNY Excels Graphics (T)'!$P$88</c:f>
              <c:numCache>
                <c:formatCode>General</c:formatCode>
                <c:ptCount val="1"/>
                <c:pt idx="0">
                  <c:v>6.987587165906628E-2</c:v>
                </c:pt>
              </c:numCache>
            </c:numRef>
          </c:val>
        </c:ser>
        <c:dLbls>
          <c:showLegendKey val="0"/>
          <c:showVal val="1"/>
          <c:showCatName val="0"/>
          <c:showSerName val="0"/>
          <c:showPercent val="0"/>
          <c:showBubbleSize val="0"/>
        </c:dLbls>
        <c:gapWidth val="50"/>
        <c:overlap val="-15"/>
        <c:axId val="300385312"/>
        <c:axId val="300385872"/>
      </c:barChart>
      <c:catAx>
        <c:axId val="300385312"/>
        <c:scaling>
          <c:orientation val="minMax"/>
        </c:scaling>
        <c:delete val="0"/>
        <c:axPos val="b"/>
        <c:title>
          <c:tx>
            <c:strRef>
              <c:f>'SUNY Excels Graphics (T)'!$M$82</c:f>
              <c:strCache>
                <c:ptCount val="1"/>
                <c:pt idx="0">
                  <c:v>Fiscal Year</c:v>
                </c:pt>
              </c:strCache>
            </c:strRef>
          </c:tx>
          <c:overlay val="0"/>
        </c:title>
        <c:numFmt formatCode="General" sourceLinked="1"/>
        <c:majorTickMark val="none"/>
        <c:minorTickMark val="none"/>
        <c:tickLblPos val="none"/>
        <c:spPr>
          <a:ln>
            <a:solidFill>
              <a:schemeClr val="tx1"/>
            </a:solidFill>
          </a:ln>
        </c:spPr>
        <c:crossAx val="300385872"/>
        <c:crosses val="autoZero"/>
        <c:auto val="1"/>
        <c:lblAlgn val="ctr"/>
        <c:lblOffset val="100"/>
        <c:noMultiLvlLbl val="0"/>
      </c:catAx>
      <c:valAx>
        <c:axId val="300385872"/>
        <c:scaling>
          <c:orientation val="minMax"/>
          <c:max val="0.25"/>
          <c:min val="0"/>
        </c:scaling>
        <c:delete val="0"/>
        <c:axPos val="l"/>
        <c:numFmt formatCode="0%" sourceLinked="0"/>
        <c:majorTickMark val="out"/>
        <c:minorTickMark val="none"/>
        <c:tickLblPos val="nextTo"/>
        <c:crossAx val="300385312"/>
        <c:crosses val="autoZero"/>
        <c:crossBetween val="between"/>
        <c:majorUnit val="0.05"/>
      </c:valAx>
    </c:plotArea>
    <c:legend>
      <c:legendPos val="b"/>
      <c:overlay val="0"/>
    </c:legend>
    <c:plotVisOnly val="1"/>
    <c:dispBlanksAs val="gap"/>
    <c:showDLblsOverMax val="0"/>
  </c:chart>
  <c:spPr>
    <a:solidFill>
      <a:sysClr val="window" lastClr="FFFFFF"/>
    </a:solidFill>
  </c:spPr>
  <c:printSettings>
    <c:headerFooter/>
    <c:pageMargins b="0.75000000000001099" l="0.70000000000000062" r="0.70000000000000062" t="0.750000000000010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(T)'!$D$41</c:f>
          <c:strCache>
            <c:ptCount val="1"/>
            <c:pt idx="0">
              <c:v>Completion
Total Degrees Awarded</c:v>
            </c:pt>
          </c:strCache>
        </c:strRef>
      </c:tx>
      <c:overlay val="0"/>
      <c:txPr>
        <a:bodyPr/>
        <a:lstStyle/>
        <a:p>
          <a:pPr>
            <a:defRPr sz="1400"/>
          </a:pPr>
          <a:endParaRPr lang="en-US"/>
        </a:p>
      </c:txPr>
    </c:title>
    <c:autoTitleDeleted val="0"/>
    <c:plotArea>
      <c:layout/>
      <c:barChart>
        <c:barDir val="col"/>
        <c:grouping val="clustered"/>
        <c:varyColors val="0"/>
        <c:ser>
          <c:idx val="0"/>
          <c:order val="0"/>
          <c:tx>
            <c:strRef>
              <c:f>'SUNY Excels Graphics (T)'!$C$44</c:f>
              <c:strCache>
                <c:ptCount val="1"/>
                <c:pt idx="0">
                  <c:v>2009-10</c:v>
                </c:pt>
              </c:strCache>
            </c:strRef>
          </c:tx>
          <c:spPr>
            <a:solidFill>
              <a:schemeClr val="tx2">
                <a:lumMod val="60000"/>
                <a:lumOff val="40000"/>
              </a:schemeClr>
            </a:solidFill>
          </c:spPr>
          <c:invertIfNegative val="0"/>
          <c:dLbls>
            <c:numFmt formatCode="#,##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(T)'!$G$43</c:f>
              <c:strCache>
                <c:ptCount val="1"/>
                <c:pt idx="0">
                  <c:v>Value</c:v>
                </c:pt>
              </c:strCache>
            </c:strRef>
          </c:cat>
          <c:val>
            <c:numRef>
              <c:f>'SUNY Excels Graphics (T)'!$G$44</c:f>
              <c:numCache>
                <c:formatCode>0.0%</c:formatCode>
                <c:ptCount val="1"/>
                <c:pt idx="0">
                  <c:v>633</c:v>
                </c:pt>
              </c:numCache>
            </c:numRef>
          </c:val>
        </c:ser>
        <c:ser>
          <c:idx val="1"/>
          <c:order val="1"/>
          <c:tx>
            <c:strRef>
              <c:f>'SUNY Excels Graphics (T)'!$C$45</c:f>
              <c:strCache>
                <c:ptCount val="1"/>
                <c:pt idx="0">
                  <c:v>2010-11</c:v>
                </c:pt>
              </c:strCache>
            </c:strRef>
          </c:tx>
          <c:invertIfNegative val="0"/>
          <c:dLbls>
            <c:numFmt formatCode="#,##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(T)'!$G$43</c:f>
              <c:strCache>
                <c:ptCount val="1"/>
                <c:pt idx="0">
                  <c:v>Value</c:v>
                </c:pt>
              </c:strCache>
            </c:strRef>
          </c:cat>
          <c:val>
            <c:numRef>
              <c:f>'SUNY Excels Graphics (T)'!$G$45</c:f>
              <c:numCache>
                <c:formatCode>0.0%</c:formatCode>
                <c:ptCount val="1"/>
                <c:pt idx="0">
                  <c:v>923</c:v>
                </c:pt>
              </c:numCache>
            </c:numRef>
          </c:val>
        </c:ser>
        <c:ser>
          <c:idx val="2"/>
          <c:order val="2"/>
          <c:tx>
            <c:strRef>
              <c:f>'SUNY Excels Graphics (T)'!$C$46</c:f>
              <c:strCache>
                <c:ptCount val="1"/>
                <c:pt idx="0">
                  <c:v>2011-12</c:v>
                </c:pt>
              </c:strCache>
            </c:strRef>
          </c:tx>
          <c:invertIfNegative val="0"/>
          <c:dLbls>
            <c:numFmt formatCode="#,##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(T)'!$G$43</c:f>
              <c:strCache>
                <c:ptCount val="1"/>
                <c:pt idx="0">
                  <c:v>Value</c:v>
                </c:pt>
              </c:strCache>
            </c:strRef>
          </c:cat>
          <c:val>
            <c:numRef>
              <c:f>'SUNY Excels Graphics (T)'!$G$46</c:f>
              <c:numCache>
                <c:formatCode>0.0%</c:formatCode>
                <c:ptCount val="1"/>
                <c:pt idx="0">
                  <c:v>855</c:v>
                </c:pt>
              </c:numCache>
            </c:numRef>
          </c:val>
        </c:ser>
        <c:ser>
          <c:idx val="3"/>
          <c:order val="3"/>
          <c:tx>
            <c:strRef>
              <c:f>'SUNY Excels Graphics (T)'!$C$47</c:f>
              <c:strCache>
                <c:ptCount val="1"/>
                <c:pt idx="0">
                  <c:v>2012-13</c:v>
                </c:pt>
              </c:strCache>
            </c:strRef>
          </c:tx>
          <c:invertIfNegative val="0"/>
          <c:dLbls>
            <c:numFmt formatCode="#,##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(T)'!$G$43</c:f>
              <c:strCache>
                <c:ptCount val="1"/>
                <c:pt idx="0">
                  <c:v>Value</c:v>
                </c:pt>
              </c:strCache>
            </c:strRef>
          </c:cat>
          <c:val>
            <c:numRef>
              <c:f>'SUNY Excels Graphics (T)'!$G$47</c:f>
              <c:numCache>
                <c:formatCode>0.0%</c:formatCode>
                <c:ptCount val="1"/>
                <c:pt idx="0">
                  <c:v>964</c:v>
                </c:pt>
              </c:numCache>
            </c:numRef>
          </c:val>
        </c:ser>
        <c:ser>
          <c:idx val="4"/>
          <c:order val="4"/>
          <c:tx>
            <c:strRef>
              <c:f>'SUNY Excels Graphics (T)'!$C$48</c:f>
              <c:strCache>
                <c:ptCount val="1"/>
                <c:pt idx="0">
                  <c:v>2013-14</c:v>
                </c:pt>
              </c:strCache>
            </c:strRef>
          </c:tx>
          <c:invertIfNegative val="0"/>
          <c:dLbls>
            <c:numFmt formatCode="#,##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(T)'!$G$43</c:f>
              <c:strCache>
                <c:ptCount val="1"/>
                <c:pt idx="0">
                  <c:v>Value</c:v>
                </c:pt>
              </c:strCache>
            </c:strRef>
          </c:cat>
          <c:val>
            <c:numRef>
              <c:f>'SUNY Excels Graphics (T)'!$G$48</c:f>
              <c:numCache>
                <c:formatCode>0.0%</c:formatCode>
                <c:ptCount val="1"/>
                <c:pt idx="0">
                  <c:v>964</c:v>
                </c:pt>
              </c:numCache>
            </c:numRef>
          </c:val>
        </c:ser>
        <c:dLbls>
          <c:showLegendKey val="0"/>
          <c:showVal val="1"/>
          <c:showCatName val="0"/>
          <c:showSerName val="0"/>
          <c:showPercent val="0"/>
          <c:showBubbleSize val="0"/>
        </c:dLbls>
        <c:gapWidth val="50"/>
        <c:overlap val="-15"/>
        <c:axId val="300390912"/>
        <c:axId val="300391472"/>
      </c:barChart>
      <c:catAx>
        <c:axId val="300390912"/>
        <c:scaling>
          <c:orientation val="minMax"/>
        </c:scaling>
        <c:delete val="0"/>
        <c:axPos val="b"/>
        <c:title>
          <c:tx>
            <c:strRef>
              <c:f>'SUNY Excels Graphics (T)'!$D$40</c:f>
              <c:strCache>
                <c:ptCount val="1"/>
                <c:pt idx="0">
                  <c:v>Academic Year</c:v>
                </c:pt>
              </c:strCache>
            </c:strRef>
          </c:tx>
          <c:overlay val="0"/>
        </c:title>
        <c:numFmt formatCode="General" sourceLinked="1"/>
        <c:majorTickMark val="none"/>
        <c:minorTickMark val="none"/>
        <c:tickLblPos val="none"/>
        <c:spPr>
          <a:ln>
            <a:solidFill>
              <a:sysClr val="windowText" lastClr="000000"/>
            </a:solidFill>
          </a:ln>
        </c:spPr>
        <c:crossAx val="300391472"/>
        <c:crosses val="autoZero"/>
        <c:auto val="1"/>
        <c:lblAlgn val="ctr"/>
        <c:lblOffset val="100"/>
        <c:noMultiLvlLbl val="0"/>
      </c:catAx>
      <c:valAx>
        <c:axId val="300391472"/>
        <c:scaling>
          <c:orientation val="minMax"/>
          <c:max val="1500"/>
          <c:min val="0"/>
        </c:scaling>
        <c:delete val="0"/>
        <c:axPos val="l"/>
        <c:numFmt formatCode="#,##0" sourceLinked="0"/>
        <c:majorTickMark val="out"/>
        <c:minorTickMark val="none"/>
        <c:tickLblPos val="nextTo"/>
        <c:crossAx val="300390912"/>
        <c:crosses val="autoZero"/>
        <c:crossBetween val="between"/>
        <c:majorUnit val="200"/>
      </c:valAx>
    </c:plotArea>
    <c:legend>
      <c:legendPos val="b"/>
      <c:overlay val="0"/>
    </c:legend>
    <c:plotVisOnly val="1"/>
    <c:dispBlanksAs val="gap"/>
    <c:showDLblsOverMax val="0"/>
  </c:chart>
  <c:spPr>
    <a:solidFill>
      <a:sysClr val="window" lastClr="FFFFFF"/>
    </a:solidFill>
  </c:sp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(T)'!$M$41</c:f>
          <c:strCache>
            <c:ptCount val="1"/>
            <c:pt idx="0">
              <c:v>Completion
3-year Associate Graduation Rate</c:v>
            </c:pt>
          </c:strCache>
        </c:strRef>
      </c:tx>
      <c:overlay val="0"/>
      <c:txPr>
        <a:bodyPr/>
        <a:lstStyle/>
        <a:p>
          <a:pPr>
            <a:defRPr sz="1400"/>
          </a:pPr>
          <a:endParaRPr lang="en-US"/>
        </a:p>
      </c:txPr>
    </c:title>
    <c:autoTitleDeleted val="0"/>
    <c:plotArea>
      <c:layout/>
      <c:lineChart>
        <c:grouping val="standard"/>
        <c:varyColors val="0"/>
        <c:ser>
          <c:idx val="0"/>
          <c:order val="0"/>
          <c:tx>
            <c:strRef>
              <c:f>'SUNY Excels Graphics (T)'!$P$43</c:f>
              <c:strCache>
                <c:ptCount val="1"/>
                <c:pt idx="0">
                  <c:v>Value</c:v>
                </c:pt>
              </c:strCache>
            </c:strRef>
          </c:tx>
          <c:marker>
            <c:symbol val="none"/>
          </c:marker>
          <c:dLbls>
            <c:delete val="1"/>
          </c:dLbls>
          <c:cat>
            <c:strRef>
              <c:f>'SUNY Excels Graphics (T)'!$L$44:$L$48</c:f>
              <c:strCache>
                <c:ptCount val="5"/>
                <c:pt idx="0">
                  <c:v>2009-10</c:v>
                </c:pt>
                <c:pt idx="1">
                  <c:v>2010-11</c:v>
                </c:pt>
                <c:pt idx="2">
                  <c:v>2011-12</c:v>
                </c:pt>
                <c:pt idx="3">
                  <c:v>2012-13</c:v>
                </c:pt>
                <c:pt idx="4">
                  <c:v>2013-14</c:v>
                </c:pt>
              </c:strCache>
            </c:strRef>
          </c:cat>
          <c:val>
            <c:numRef>
              <c:f>'SUNY Excels Graphics (T)'!$P$44:$P$48</c:f>
              <c:numCache>
                <c:formatCode>General</c:formatCode>
                <c:ptCount val="5"/>
                <c:pt idx="0">
                  <c:v>0.28652751423149903</c:v>
                </c:pt>
                <c:pt idx="1">
                  <c:v>0.24143556280587275</c:v>
                </c:pt>
                <c:pt idx="2">
                  <c:v>0.26276276276276278</c:v>
                </c:pt>
                <c:pt idx="3">
                  <c:v>0.26060606060606062</c:v>
                </c:pt>
                <c:pt idx="4">
                  <c:v>0.29129662522202487</c:v>
                </c:pt>
              </c:numCache>
            </c:numRef>
          </c:val>
          <c:smooth val="0"/>
        </c:ser>
        <c:ser>
          <c:idx val="1"/>
          <c:order val="1"/>
          <c:tx>
            <c:strRef>
              <c:f>'SUNY Excels Graphics (T)'!$Q$43</c:f>
              <c:strCache>
                <c:ptCount val="1"/>
                <c:pt idx="0">
                  <c:v>National</c:v>
                </c:pt>
              </c:strCache>
            </c:strRef>
          </c:tx>
          <c:spPr>
            <a:ln>
              <a:solidFill>
                <a:sysClr val="windowText" lastClr="000000"/>
              </a:solidFill>
              <a:prstDash val="sysDash"/>
            </a:ln>
          </c:spPr>
          <c:marker>
            <c:symbol val="none"/>
          </c:marker>
          <c:dLbls>
            <c:delete val="1"/>
          </c:dLbls>
          <c:cat>
            <c:strRef>
              <c:f>'SUNY Excels Graphics (T)'!$L$44:$L$48</c:f>
              <c:strCache>
                <c:ptCount val="5"/>
                <c:pt idx="0">
                  <c:v>2009-10</c:v>
                </c:pt>
                <c:pt idx="1">
                  <c:v>2010-11</c:v>
                </c:pt>
                <c:pt idx="2">
                  <c:v>2011-12</c:v>
                </c:pt>
                <c:pt idx="3">
                  <c:v>2012-13</c:v>
                </c:pt>
                <c:pt idx="4">
                  <c:v>2013-14</c:v>
                </c:pt>
              </c:strCache>
            </c:strRef>
          </c:cat>
          <c:val>
            <c:numRef>
              <c:f>'SUNY Excels Graphics (T)'!$Q$44:$Q$48</c:f>
              <c:numCache>
                <c:formatCode>0.0%</c:formatCode>
                <c:ptCount val="5"/>
                <c:pt idx="0">
                  <c:v>0.20599999999999999</c:v>
                </c:pt>
                <c:pt idx="1">
                  <c:v>0.20399999999999999</c:v>
                </c:pt>
                <c:pt idx="2">
                  <c:v>0.20300000000000001</c:v>
                </c:pt>
                <c:pt idx="3">
                  <c:v>0.20200000000000001</c:v>
                </c:pt>
                <c:pt idx="4">
                  <c:v>0.19800000000000001</c:v>
                </c:pt>
              </c:numCache>
            </c:numRef>
          </c:val>
          <c:smooth val="0"/>
        </c:ser>
        <c:dLbls>
          <c:showLegendKey val="0"/>
          <c:showVal val="1"/>
          <c:showCatName val="0"/>
          <c:showSerName val="0"/>
          <c:showPercent val="0"/>
          <c:showBubbleSize val="0"/>
        </c:dLbls>
        <c:smooth val="0"/>
        <c:axId val="300580560"/>
        <c:axId val="300581120"/>
      </c:lineChart>
      <c:catAx>
        <c:axId val="300580560"/>
        <c:scaling>
          <c:orientation val="minMax"/>
        </c:scaling>
        <c:delete val="0"/>
        <c:axPos val="b"/>
        <c:title>
          <c:tx>
            <c:strRef>
              <c:f>'SUNY Excels Graphics (T)'!$M$40</c:f>
              <c:strCache>
                <c:ptCount val="1"/>
                <c:pt idx="0">
                  <c:v>Academic Year</c:v>
                </c:pt>
              </c:strCache>
            </c:strRef>
          </c:tx>
          <c:overlay val="0"/>
        </c:title>
        <c:numFmt formatCode="General" sourceLinked="1"/>
        <c:majorTickMark val="none"/>
        <c:minorTickMark val="none"/>
        <c:tickLblPos val="nextTo"/>
        <c:crossAx val="300581120"/>
        <c:crosses val="autoZero"/>
        <c:auto val="1"/>
        <c:lblAlgn val="ctr"/>
        <c:lblOffset val="100"/>
        <c:noMultiLvlLbl val="0"/>
      </c:catAx>
      <c:valAx>
        <c:axId val="300581120"/>
        <c:scaling>
          <c:orientation val="minMax"/>
          <c:max val="0.35000000000000031"/>
          <c:min val="0.15000000000000024"/>
        </c:scaling>
        <c:delete val="0"/>
        <c:axPos val="l"/>
        <c:numFmt formatCode="0%" sourceLinked="0"/>
        <c:majorTickMark val="out"/>
        <c:minorTickMark val="none"/>
        <c:tickLblPos val="nextTo"/>
        <c:crossAx val="300580560"/>
        <c:crosses val="autoZero"/>
        <c:crossBetween val="between"/>
        <c:majorUnit val="0.05"/>
      </c:valAx>
    </c:plotArea>
    <c:plotVisOnly val="1"/>
    <c:dispBlanksAs val="gap"/>
    <c:showDLblsOverMax val="0"/>
  </c:chart>
  <c:spPr>
    <a:solidFill>
      <a:sysClr val="window" lastClr="FFFFFF"/>
    </a:solidFill>
  </c:sp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(T)'!$D$62</c:f>
          <c:strCache>
            <c:ptCount val="1"/>
            <c:pt idx="0">
              <c:v>Completion
Percent 1st Year Retention 
(First-time, Full-time)</c:v>
            </c:pt>
          </c:strCache>
        </c:strRef>
      </c:tx>
      <c:overlay val="0"/>
      <c:txPr>
        <a:bodyPr/>
        <a:lstStyle/>
        <a:p>
          <a:pPr>
            <a:defRPr sz="1400"/>
          </a:pPr>
          <a:endParaRPr lang="en-US"/>
        </a:p>
      </c:txPr>
    </c:title>
    <c:autoTitleDeleted val="0"/>
    <c:plotArea>
      <c:layout>
        <c:manualLayout>
          <c:layoutTarget val="inner"/>
          <c:xMode val="edge"/>
          <c:yMode val="edge"/>
          <c:x val="0.10205502090016526"/>
          <c:y val="0.27362204724409972"/>
          <c:w val="0.86399436181588463"/>
          <c:h val="0.52865891431168555"/>
        </c:manualLayout>
      </c:layout>
      <c:lineChart>
        <c:grouping val="standard"/>
        <c:varyColors val="0"/>
        <c:ser>
          <c:idx val="0"/>
          <c:order val="0"/>
          <c:tx>
            <c:strRef>
              <c:f>'SUNY Excels Graphics (T)'!$G$64</c:f>
              <c:strCache>
                <c:ptCount val="1"/>
                <c:pt idx="0">
                  <c:v>Value</c:v>
                </c:pt>
              </c:strCache>
            </c:strRef>
          </c:tx>
          <c:marker>
            <c:symbol val="none"/>
          </c:marker>
          <c:dLbls>
            <c:delete val="1"/>
          </c:dLbls>
          <c:cat>
            <c:strRef>
              <c:f>'SUNY Excels Graphics (T)'!$D$65:$D$70</c:f>
              <c:strCache>
                <c:ptCount val="6"/>
                <c:pt idx="0">
                  <c:v>Fall 2009</c:v>
                </c:pt>
                <c:pt idx="1">
                  <c:v>Fall 2010</c:v>
                </c:pt>
                <c:pt idx="2">
                  <c:v>Fall 2011</c:v>
                </c:pt>
                <c:pt idx="3">
                  <c:v>Fall 2012</c:v>
                </c:pt>
                <c:pt idx="4">
                  <c:v>Fall 2013</c:v>
                </c:pt>
                <c:pt idx="5">
                  <c:v>Fall 2014</c:v>
                </c:pt>
              </c:strCache>
            </c:strRef>
          </c:cat>
          <c:val>
            <c:numRef>
              <c:f>'SUNY Excels Graphics (T)'!$G$65:$G$70</c:f>
              <c:numCache>
                <c:formatCode>0.0%</c:formatCode>
                <c:ptCount val="6"/>
                <c:pt idx="0">
                  <c:v>0.53600000000000003</c:v>
                </c:pt>
                <c:pt idx="1">
                  <c:v>0.52700000000000002</c:v>
                </c:pt>
                <c:pt idx="2">
                  <c:v>0.62</c:v>
                </c:pt>
                <c:pt idx="3">
                  <c:v>0.56399999999999995</c:v>
                </c:pt>
                <c:pt idx="4">
                  <c:v>0.64</c:v>
                </c:pt>
                <c:pt idx="5" formatCode="General">
                  <c:v>0.66400000000000003</c:v>
                </c:pt>
              </c:numCache>
            </c:numRef>
          </c:val>
          <c:smooth val="0"/>
        </c:ser>
        <c:ser>
          <c:idx val="1"/>
          <c:order val="1"/>
          <c:tx>
            <c:strRef>
              <c:f>'SUNY Excels Graphics (T)'!$H$64</c:f>
              <c:strCache>
                <c:ptCount val="1"/>
                <c:pt idx="0">
                  <c:v>All Public</c:v>
                </c:pt>
              </c:strCache>
            </c:strRef>
          </c:tx>
          <c:spPr>
            <a:ln>
              <a:solidFill>
                <a:sysClr val="windowText" lastClr="000000"/>
              </a:solidFill>
              <a:prstDash val="sysDash"/>
            </a:ln>
          </c:spPr>
          <c:marker>
            <c:symbol val="none"/>
          </c:marker>
          <c:dLbls>
            <c:delete val="1"/>
          </c:dLbls>
          <c:cat>
            <c:strRef>
              <c:f>'SUNY Excels Graphics (T)'!$D$65:$D$69</c:f>
              <c:strCache>
                <c:ptCount val="5"/>
                <c:pt idx="0">
                  <c:v>Fall 2009</c:v>
                </c:pt>
                <c:pt idx="1">
                  <c:v>Fall 2010</c:v>
                </c:pt>
                <c:pt idx="2">
                  <c:v>Fall 2011</c:v>
                </c:pt>
                <c:pt idx="3">
                  <c:v>Fall 2012</c:v>
                </c:pt>
                <c:pt idx="4">
                  <c:v>Fall 2013</c:v>
                </c:pt>
              </c:strCache>
            </c:strRef>
          </c:cat>
          <c:val>
            <c:numRef>
              <c:f>'SUNY Excels Graphics (T)'!$H$65:$H$69</c:f>
              <c:numCache>
                <c:formatCode>0.0%</c:formatCode>
                <c:ptCount val="5"/>
                <c:pt idx="0">
                  <c:v>0.7053389002398508</c:v>
                </c:pt>
                <c:pt idx="1">
                  <c:v>0.70499429937350455</c:v>
                </c:pt>
                <c:pt idx="2">
                  <c:v>0.70218106828723537</c:v>
                </c:pt>
                <c:pt idx="3">
                  <c:v>0.70262238927199472</c:v>
                </c:pt>
              </c:numCache>
            </c:numRef>
          </c:val>
          <c:smooth val="0"/>
        </c:ser>
        <c:ser>
          <c:idx val="2"/>
          <c:order val="2"/>
          <c:tx>
            <c:strRef>
              <c:f>'SUNY Excels Graphics (T)'!$I$64</c:f>
              <c:strCache>
                <c:ptCount val="1"/>
                <c:pt idx="0">
                  <c:v>4 Yr Public</c:v>
                </c:pt>
              </c:strCache>
            </c:strRef>
          </c:tx>
          <c:spPr>
            <a:ln>
              <a:solidFill>
                <a:schemeClr val="tx1"/>
              </a:solidFill>
              <a:prstDash val="sysDot"/>
            </a:ln>
          </c:spPr>
          <c:marker>
            <c:symbol val="none"/>
          </c:marker>
          <c:dLbls>
            <c:delete val="1"/>
          </c:dLbls>
          <c:val>
            <c:numRef>
              <c:f>'SUNY Excels Graphics (T)'!$I$65:$I$68</c:f>
              <c:numCache>
                <c:formatCode>0.0%</c:formatCode>
                <c:ptCount val="4"/>
                <c:pt idx="0">
                  <c:v>0.78632375866955639</c:v>
                </c:pt>
                <c:pt idx="1">
                  <c:v>0.7945686404475496</c:v>
                </c:pt>
                <c:pt idx="2">
                  <c:v>0.79336370919925447</c:v>
                </c:pt>
                <c:pt idx="3">
                  <c:v>0.79206458394440971</c:v>
                </c:pt>
              </c:numCache>
            </c:numRef>
          </c:val>
          <c:smooth val="0"/>
        </c:ser>
        <c:ser>
          <c:idx val="3"/>
          <c:order val="3"/>
          <c:tx>
            <c:strRef>
              <c:f>'SUNY Excels Graphics (T)'!$J$64</c:f>
              <c:strCache>
                <c:ptCount val="1"/>
                <c:pt idx="0">
                  <c:v>2 Yr Public</c:v>
                </c:pt>
              </c:strCache>
            </c:strRef>
          </c:tx>
          <c:spPr>
            <a:ln>
              <a:solidFill>
                <a:schemeClr val="bg1">
                  <a:lumMod val="75000"/>
                </a:schemeClr>
              </a:solidFill>
              <a:prstDash val="sysDot"/>
            </a:ln>
          </c:spPr>
          <c:marker>
            <c:symbol val="none"/>
          </c:marker>
          <c:dLbls>
            <c:delete val="1"/>
          </c:dLbls>
          <c:val>
            <c:numRef>
              <c:f>'SUNY Excels Graphics (T)'!$J$65:$J$68</c:f>
              <c:numCache>
                <c:formatCode>0.0%</c:formatCode>
                <c:ptCount val="4"/>
                <c:pt idx="0">
                  <c:v>0.58973580366442224</c:v>
                </c:pt>
                <c:pt idx="1">
                  <c:v>0.59877500416814489</c:v>
                </c:pt>
                <c:pt idx="2">
                  <c:v>0.58890788249193138</c:v>
                </c:pt>
                <c:pt idx="3">
                  <c:v>0.58155566419220017</c:v>
                </c:pt>
              </c:numCache>
            </c:numRef>
          </c:val>
          <c:smooth val="0"/>
        </c:ser>
        <c:dLbls>
          <c:showLegendKey val="0"/>
          <c:showVal val="1"/>
          <c:showCatName val="0"/>
          <c:showSerName val="0"/>
          <c:showPercent val="0"/>
          <c:showBubbleSize val="0"/>
        </c:dLbls>
        <c:smooth val="0"/>
        <c:axId val="300728112"/>
        <c:axId val="300728672"/>
      </c:lineChart>
      <c:catAx>
        <c:axId val="300728112"/>
        <c:scaling>
          <c:orientation val="minMax"/>
        </c:scaling>
        <c:delete val="0"/>
        <c:axPos val="b"/>
        <c:title>
          <c:tx>
            <c:strRef>
              <c:f>'SUNY Excels Graphics (T)'!$D$61</c:f>
              <c:strCache>
                <c:ptCount val="1"/>
                <c:pt idx="0">
                  <c:v>Returning as of Fall Semester</c:v>
                </c:pt>
              </c:strCache>
            </c:strRef>
          </c:tx>
          <c:layout>
            <c:manualLayout>
              <c:xMode val="edge"/>
              <c:yMode val="edge"/>
              <c:x val="0.33994225017152468"/>
              <c:y val="0.88639893739213804"/>
            </c:manualLayout>
          </c:layout>
          <c:overlay val="0"/>
        </c:title>
        <c:numFmt formatCode="General" sourceLinked="1"/>
        <c:majorTickMark val="none"/>
        <c:minorTickMark val="none"/>
        <c:tickLblPos val="nextTo"/>
        <c:crossAx val="300728672"/>
        <c:crosses val="autoZero"/>
        <c:auto val="1"/>
        <c:lblAlgn val="ctr"/>
        <c:lblOffset val="150"/>
        <c:noMultiLvlLbl val="0"/>
      </c:catAx>
      <c:valAx>
        <c:axId val="300728672"/>
        <c:scaling>
          <c:orientation val="minMax"/>
          <c:min val="0.5"/>
        </c:scaling>
        <c:delete val="0"/>
        <c:axPos val="l"/>
        <c:numFmt formatCode="0%" sourceLinked="0"/>
        <c:majorTickMark val="out"/>
        <c:minorTickMark val="none"/>
        <c:tickLblPos val="nextTo"/>
        <c:crossAx val="300728112"/>
        <c:crosses val="autoZero"/>
        <c:crossBetween val="between"/>
        <c:majorUnit val="0.05"/>
      </c:valAx>
    </c:plotArea>
    <c:legend>
      <c:legendPos val="b"/>
      <c:legendEntry>
        <c:idx val="0"/>
        <c:delete val="1"/>
      </c:legendEntry>
      <c:layout>
        <c:manualLayout>
          <c:xMode val="edge"/>
          <c:yMode val="edge"/>
          <c:x val="0.15857835012604449"/>
          <c:y val="0.94387002676481568"/>
          <c:w val="0.68284329974791658"/>
          <c:h val="4.7536544907260433E-2"/>
        </c:manualLayout>
      </c:layout>
      <c:overlay val="0"/>
      <c:txPr>
        <a:bodyPr/>
        <a:lstStyle/>
        <a:p>
          <a:pPr>
            <a:defRPr sz="750"/>
          </a:pPr>
          <a:endParaRPr lang="en-US"/>
        </a:p>
      </c:txPr>
    </c:legend>
    <c:plotVisOnly val="1"/>
    <c:dispBlanksAs val="gap"/>
    <c:showDLblsOverMax val="0"/>
  </c:chart>
  <c:spPr>
    <a:solidFill>
      <a:sysClr val="window" lastClr="FFFFFF"/>
    </a:solidFill>
  </c:sp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(T)'!$M$62</c:f>
          <c:strCache>
            <c:ptCount val="1"/>
            <c:pt idx="0">
              <c:v>Completion
Time to Degree (years) - Associates</c:v>
            </c:pt>
          </c:strCache>
        </c:strRef>
      </c:tx>
      <c:overlay val="0"/>
      <c:txPr>
        <a:bodyPr/>
        <a:lstStyle/>
        <a:p>
          <a:pPr>
            <a:defRPr sz="1400"/>
          </a:pPr>
          <a:endParaRPr lang="en-US"/>
        </a:p>
      </c:txPr>
    </c:title>
    <c:autoTitleDeleted val="0"/>
    <c:plotArea>
      <c:layout/>
      <c:barChart>
        <c:barDir val="col"/>
        <c:grouping val="clustered"/>
        <c:varyColors val="0"/>
        <c:ser>
          <c:idx val="0"/>
          <c:order val="0"/>
          <c:tx>
            <c:strRef>
              <c:f>'SUNY Excels Graphics (T)'!$P$64</c:f>
              <c:strCache>
                <c:ptCount val="1"/>
                <c:pt idx="0">
                  <c:v>Value</c:v>
                </c:pt>
              </c:strCache>
            </c:strRef>
          </c:tx>
          <c:spPr>
            <a:solidFill>
              <a:schemeClr val="tx2">
                <a:lumMod val="60000"/>
                <a:lumOff val="40000"/>
              </a:schemeClr>
            </a:solidFill>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'SUNY Excels Graphics (T)'!$L$65:$L$69</c:f>
              <c:strCache>
                <c:ptCount val="5"/>
                <c:pt idx="0">
                  <c:v>2009-10</c:v>
                </c:pt>
                <c:pt idx="1">
                  <c:v>2010-11</c:v>
                </c:pt>
                <c:pt idx="2">
                  <c:v>2011-12</c:v>
                </c:pt>
                <c:pt idx="3">
                  <c:v>2012-13</c:v>
                </c:pt>
                <c:pt idx="4">
                  <c:v>2013-14</c:v>
                </c:pt>
              </c:strCache>
            </c:strRef>
          </c:cat>
          <c:val>
            <c:numRef>
              <c:f>'SUNY Excels Graphics (T)'!$P$65:$P$69</c:f>
              <c:numCache>
                <c:formatCode>0.0%</c:formatCode>
                <c:ptCount val="5"/>
                <c:pt idx="0">
                  <c:v>2.9622222222222199</c:v>
                </c:pt>
                <c:pt idx="1">
                  <c:v>3.0370967741935502</c:v>
                </c:pt>
                <c:pt idx="2">
                  <c:v>3.0493421052631602</c:v>
                </c:pt>
                <c:pt idx="3">
                  <c:v>3.2010869565217401</c:v>
                </c:pt>
                <c:pt idx="4">
                  <c:v>3.1202749140893502</c:v>
                </c:pt>
              </c:numCache>
            </c:numRef>
          </c:val>
        </c:ser>
        <c:dLbls>
          <c:showLegendKey val="0"/>
          <c:showVal val="1"/>
          <c:showCatName val="0"/>
          <c:showSerName val="0"/>
          <c:showPercent val="0"/>
          <c:showBubbleSize val="0"/>
        </c:dLbls>
        <c:gapWidth val="50"/>
        <c:overlap val="-15"/>
        <c:axId val="300731472"/>
        <c:axId val="300732032"/>
      </c:barChart>
      <c:catAx>
        <c:axId val="300731472"/>
        <c:scaling>
          <c:orientation val="minMax"/>
        </c:scaling>
        <c:delete val="0"/>
        <c:axPos val="b"/>
        <c:title>
          <c:tx>
            <c:strRef>
              <c:f>'SUNY Excels Graphics (T)'!$M$61</c:f>
              <c:strCache>
                <c:ptCount val="1"/>
                <c:pt idx="0">
                  <c:v>Academic Year</c:v>
                </c:pt>
              </c:strCache>
            </c:strRef>
          </c:tx>
          <c:overlay val="0"/>
        </c:title>
        <c:numFmt formatCode="General" sourceLinked="1"/>
        <c:majorTickMark val="none"/>
        <c:minorTickMark val="none"/>
        <c:tickLblPos val="nextTo"/>
        <c:crossAx val="300732032"/>
        <c:crosses val="autoZero"/>
        <c:auto val="1"/>
        <c:lblAlgn val="ctr"/>
        <c:lblOffset val="100"/>
        <c:noMultiLvlLbl val="0"/>
      </c:catAx>
      <c:valAx>
        <c:axId val="300732032"/>
        <c:scaling>
          <c:orientation val="minMax"/>
          <c:max val="6"/>
          <c:min val="0"/>
        </c:scaling>
        <c:delete val="0"/>
        <c:axPos val="l"/>
        <c:numFmt formatCode="#,##0" sourceLinked="0"/>
        <c:majorTickMark val="out"/>
        <c:minorTickMark val="none"/>
        <c:tickLblPos val="nextTo"/>
        <c:crossAx val="300731472"/>
        <c:crosses val="autoZero"/>
        <c:crossBetween val="between"/>
        <c:majorUnit val="1"/>
      </c:valAx>
    </c:plotArea>
    <c:plotVisOnly val="1"/>
    <c:dispBlanksAs val="gap"/>
    <c:showDLblsOverMax val="0"/>
  </c:chart>
  <c:printSettings>
    <c:headerFooter/>
    <c:pageMargins b="0.75000000000001121" l="0.70000000000000062" r="0.70000000000000062" t="0.75000000000001121"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'SUNY Excels Graphics (T)'!$S$20</c:f>
          <c:strCache>
            <c:ptCount val="1"/>
            <c:pt idx="0">
              <c:v>Access
EOP Enrollment</c:v>
            </c:pt>
          </c:strCache>
        </c:strRef>
      </c:tx>
      <c:overlay val="0"/>
      <c:txPr>
        <a:bodyPr/>
        <a:lstStyle/>
        <a:p>
          <a:pPr>
            <a:defRPr sz="1400"/>
          </a:pPr>
          <a:endParaRPr lang="en-US"/>
        </a:p>
      </c:txPr>
    </c:title>
    <c:autoTitleDeleted val="0"/>
    <c:plotArea>
      <c:layout/>
      <c:lineChart>
        <c:grouping val="standard"/>
        <c:varyColors val="0"/>
        <c:ser>
          <c:idx val="0"/>
          <c:order val="0"/>
          <c:tx>
            <c:strRef>
              <c:f>'SUNY Excels Graphics (T)'!$V$22</c:f>
              <c:strCache>
                <c:ptCount val="1"/>
                <c:pt idx="0">
                  <c:v>Value</c:v>
                </c:pt>
              </c:strCache>
            </c:strRef>
          </c:tx>
          <c:marker>
            <c:symbol val="none"/>
          </c:marker>
          <c:cat>
            <c:strRef>
              <c:f>'SUNY Excels Graphics (T)'!$U$23:$U$28</c:f>
              <c:strCache>
                <c:ptCount val="6"/>
                <c:pt idx="0">
                  <c:v>2009</c:v>
                </c:pt>
                <c:pt idx="1">
                  <c:v>2010</c:v>
                </c:pt>
                <c:pt idx="2">
                  <c:v>2011</c:v>
                </c:pt>
                <c:pt idx="3">
                  <c:v>2012</c:v>
                </c:pt>
                <c:pt idx="4">
                  <c:v>2013</c:v>
                </c:pt>
                <c:pt idx="5">
                  <c:v>2014</c:v>
                </c:pt>
              </c:strCache>
            </c:strRef>
          </c:cat>
          <c:val>
            <c:numRef>
              <c:f>'SUNY Excels Graphics (T)'!$V$23:$V$28</c:f>
              <c:numCache>
                <c:formatCode>General</c:formatCode>
                <c:ptCount val="6"/>
                <c:pt idx="0">
                  <c:v>289</c:v>
                </c:pt>
                <c:pt idx="1">
                  <c:v>282</c:v>
                </c:pt>
                <c:pt idx="2">
                  <c:v>287</c:v>
                </c:pt>
                <c:pt idx="3">
                  <c:v>260</c:v>
                </c:pt>
                <c:pt idx="4">
                  <c:v>245</c:v>
                </c:pt>
                <c:pt idx="5">
                  <c:v>231</c:v>
                </c:pt>
              </c:numCache>
            </c:numRef>
          </c:val>
          <c:smooth val="0"/>
        </c:ser>
        <c:dLbls>
          <c:showLegendKey val="0"/>
          <c:showVal val="0"/>
          <c:showCatName val="0"/>
          <c:showSerName val="0"/>
          <c:showPercent val="0"/>
          <c:showBubbleSize val="0"/>
        </c:dLbls>
        <c:smooth val="0"/>
        <c:axId val="300734832"/>
        <c:axId val="300735392"/>
      </c:lineChart>
      <c:catAx>
        <c:axId val="300734832"/>
        <c:scaling>
          <c:orientation val="minMax"/>
        </c:scaling>
        <c:delete val="0"/>
        <c:axPos val="b"/>
        <c:title>
          <c:tx>
            <c:strRef>
              <c:f>'SUNY Excels Graphics (T)'!$M$19</c:f>
              <c:strCache>
                <c:ptCount val="1"/>
                <c:pt idx="0">
                  <c:v>Fall Semester</c:v>
                </c:pt>
              </c:strCache>
            </c:strRef>
          </c:tx>
          <c:overlay val="0"/>
        </c:title>
        <c:numFmt formatCode="General" sourceLinked="1"/>
        <c:majorTickMark val="none"/>
        <c:minorTickMark val="none"/>
        <c:tickLblPos val="nextTo"/>
        <c:crossAx val="300735392"/>
        <c:crosses val="autoZero"/>
        <c:auto val="1"/>
        <c:lblAlgn val="ctr"/>
        <c:lblOffset val="100"/>
        <c:noMultiLvlLbl val="0"/>
      </c:catAx>
      <c:valAx>
        <c:axId val="300735392"/>
        <c:scaling>
          <c:orientation val="minMax"/>
          <c:max val="400"/>
          <c:min val="0"/>
        </c:scaling>
        <c:delete val="0"/>
        <c:axPos val="l"/>
        <c:numFmt formatCode="#,##0" sourceLinked="0"/>
        <c:majorTickMark val="out"/>
        <c:minorTickMark val="none"/>
        <c:tickLblPos val="nextTo"/>
        <c:crossAx val="300734832"/>
        <c:crosses val="autoZero"/>
        <c:crossBetween val="between"/>
        <c:majorUnit val="50"/>
      </c:valAx>
    </c:plotArea>
    <c:plotVisOnly val="1"/>
    <c:dispBlanksAs val="span"/>
    <c:showDLblsOverMax val="0"/>
  </c:chart>
  <c:spPr>
    <a:solidFill>
      <a:sysClr val="window" lastClr="FFFFFF"/>
    </a:solidFill>
  </c:sp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0</xdr:rowOff>
    </xdr:from>
    <xdr:to>
      <xdr:col>17</xdr:col>
      <xdr:colOff>19050</xdr:colOff>
      <xdr:row>37</xdr:row>
      <xdr:rowOff>28575</xdr:rowOff>
    </xdr:to>
    <xdr:pic>
      <xdr:nvPicPr>
        <xdr:cNvPr id="10241" name="Picture 1"/>
        <xdr:cNvPicPr>
          <a:picLocks noChangeAspect="1" noChangeArrowheads="1"/>
        </xdr:cNvPicPr>
      </xdr:nvPicPr>
      <xdr:blipFill>
        <a:blip xmlns:r="http://schemas.openxmlformats.org/officeDocument/2006/relationships" r:embed="rId1" cstate="print"/>
        <a:srcRect l="22892" t="2951" r="1005" b="29171"/>
        <a:stretch>
          <a:fillRect/>
        </a:stretch>
      </xdr:blipFill>
      <xdr:spPr bwMode="auto">
        <a:xfrm>
          <a:off x="647700" y="257175"/>
          <a:ext cx="9372600" cy="5695950"/>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361950</xdr:colOff>
      <xdr:row>4</xdr:row>
      <xdr:rowOff>47625</xdr:rowOff>
    </xdr:from>
    <xdr:to>
      <xdr:col>13</xdr:col>
      <xdr:colOff>609600</xdr:colOff>
      <xdr:row>6</xdr:row>
      <xdr:rowOff>149704</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9696450" y="809625"/>
          <a:ext cx="914400" cy="4830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323849</xdr:colOff>
      <xdr:row>5</xdr:row>
      <xdr:rowOff>34955</xdr:rowOff>
    </xdr:from>
    <xdr:to>
      <xdr:col>14</xdr:col>
      <xdr:colOff>571499</xdr:colOff>
      <xdr:row>7</xdr:row>
      <xdr:rowOff>137034</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10763249" y="987455"/>
          <a:ext cx="914400" cy="4830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323850</xdr:colOff>
      <xdr:row>6</xdr:row>
      <xdr:rowOff>34955</xdr:rowOff>
    </xdr:from>
    <xdr:to>
      <xdr:col>15</xdr:col>
      <xdr:colOff>571500</xdr:colOff>
      <xdr:row>8</xdr:row>
      <xdr:rowOff>137034</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11506200" y="1177955"/>
          <a:ext cx="914400" cy="4830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285749</xdr:colOff>
      <xdr:row>6</xdr:row>
      <xdr:rowOff>53324</xdr:rowOff>
    </xdr:from>
    <xdr:to>
      <xdr:col>15</xdr:col>
      <xdr:colOff>533399</xdr:colOff>
      <xdr:row>8</xdr:row>
      <xdr:rowOff>155403</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10953749" y="1196324"/>
          <a:ext cx="914400" cy="4830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419100</xdr:colOff>
      <xdr:row>4</xdr:row>
      <xdr:rowOff>34955</xdr:rowOff>
    </xdr:from>
    <xdr:to>
      <xdr:col>13</xdr:col>
      <xdr:colOff>666749</xdr:colOff>
      <xdr:row>5</xdr:row>
      <xdr:rowOff>89409</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7943850" y="415955"/>
          <a:ext cx="914399" cy="48307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361949</xdr:colOff>
      <xdr:row>5</xdr:row>
      <xdr:rowOff>34955</xdr:rowOff>
    </xdr:from>
    <xdr:to>
      <xdr:col>14</xdr:col>
      <xdr:colOff>609599</xdr:colOff>
      <xdr:row>7</xdr:row>
      <xdr:rowOff>137034</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8286749" y="987455"/>
          <a:ext cx="857250" cy="483079"/>
        </a:xfrm>
        <a:prstGeom prst="rect">
          <a:avLst/>
        </a:prstGeom>
      </xdr:spPr>
    </xdr:pic>
    <xdr:clientData/>
  </xdr:twoCellAnchor>
  <xdr:oneCellAnchor>
    <xdr:from>
      <xdr:col>4</xdr:col>
      <xdr:colOff>0</xdr:colOff>
      <xdr:row>4</xdr:row>
      <xdr:rowOff>152940</xdr:rowOff>
    </xdr:from>
    <xdr:ext cx="1847850" cy="618586"/>
    <xdr:sp macro="" textlink="">
      <xdr:nvSpPr>
        <xdr:cNvPr id="3" name="Rectangle 2"/>
        <xdr:cNvSpPr/>
      </xdr:nvSpPr>
      <xdr:spPr>
        <a:xfrm>
          <a:off x="2438400" y="914940"/>
          <a:ext cx="1847850" cy="618586"/>
        </a:xfrm>
        <a:prstGeom prst="rect">
          <a:avLst/>
        </a:prstGeom>
        <a:noFill/>
      </xdr:spPr>
      <xdr:txBody>
        <a:bodyPr wrap="square" lIns="91440" tIns="45720" rIns="91440" bIns="45720">
          <a:noAutofit/>
        </a:bodyPr>
        <a:lstStyle/>
        <a:p>
          <a:pPr algn="ctr"/>
          <a:r>
            <a:rPr lang="en-US" sz="1600" b="1" cap="none" spc="0" baseline="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Table data changed </a:t>
          </a:r>
        </a:p>
        <a:p>
          <a:pPr algn="ctr"/>
          <a:r>
            <a:rPr lang="en-US" sz="1600" b="1" cap="none" spc="0" baseline="0">
              <a:ln w="9000" cmpd="sng">
                <a:solidFill>
                  <a:schemeClr val="accent4">
                    <a:shade val="50000"/>
                    <a:satMod val="120000"/>
                  </a:schemeClr>
                </a:solidFill>
                <a:prstDash val="solid"/>
              </a:ln>
              <a:gradFill>
                <a:gsLst>
                  <a:gs pos="0">
                    <a:schemeClr val="accent4">
                      <a:shade val="20000"/>
                      <a:satMod val="245000"/>
                    </a:schemeClr>
                  </a:gs>
                  <a:gs pos="43000">
                    <a:schemeClr val="accent4">
                      <a:satMod val="255000"/>
                    </a:schemeClr>
                  </a:gs>
                  <a:gs pos="48000">
                    <a:schemeClr val="accent4">
                      <a:shade val="85000"/>
                      <a:satMod val="255000"/>
                    </a:schemeClr>
                  </a:gs>
                  <a:gs pos="100000">
                    <a:schemeClr val="accent4">
                      <a:shade val="20000"/>
                      <a:satMod val="245000"/>
                    </a:schemeClr>
                  </a:gs>
                </a:gsLst>
                <a:lin ang="5400000"/>
              </a:gradFill>
              <a:effectLst>
                <a:reflection blurRad="12700" stA="28000" endPos="45000" dist="1000" dir="5400000" sy="-100000" algn="bl" rotWithShape="0"/>
              </a:effectLst>
            </a:rPr>
            <a:t>to correct an error.</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13</xdr:col>
      <xdr:colOff>333374</xdr:colOff>
      <xdr:row>3</xdr:row>
      <xdr:rowOff>34667</xdr:rowOff>
    </xdr:from>
    <xdr:to>
      <xdr:col>14</xdr:col>
      <xdr:colOff>581024</xdr:colOff>
      <xdr:row>5</xdr:row>
      <xdr:rowOff>136746</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10334624" y="606167"/>
          <a:ext cx="914400" cy="48307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447676</xdr:colOff>
      <xdr:row>3</xdr:row>
      <xdr:rowOff>24814</xdr:rowOff>
    </xdr:from>
    <xdr:to>
      <xdr:col>12</xdr:col>
      <xdr:colOff>638176</xdr:colOff>
      <xdr:row>5</xdr:row>
      <xdr:rowOff>126893</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10706101" y="596314"/>
          <a:ext cx="914400" cy="48307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514350</xdr:colOff>
      <xdr:row>3</xdr:row>
      <xdr:rowOff>34339</xdr:rowOff>
    </xdr:from>
    <xdr:to>
      <xdr:col>12</xdr:col>
      <xdr:colOff>704850</xdr:colOff>
      <xdr:row>5</xdr:row>
      <xdr:rowOff>136418</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7324725" y="224839"/>
          <a:ext cx="914400" cy="48307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428625</xdr:colOff>
      <xdr:row>4</xdr:row>
      <xdr:rowOff>186739</xdr:rowOff>
    </xdr:from>
    <xdr:to>
      <xdr:col>11</xdr:col>
      <xdr:colOff>9525</xdr:colOff>
      <xdr:row>7</xdr:row>
      <xdr:rowOff>98318</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7762875" y="948739"/>
          <a:ext cx="914400" cy="4830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133351</xdr:colOff>
      <xdr:row>1</xdr:row>
      <xdr:rowOff>111125</xdr:rowOff>
    </xdr:from>
    <xdr:to>
      <xdr:col>7</xdr:col>
      <xdr:colOff>1472126</xdr:colOff>
      <xdr:row>1</xdr:row>
      <xdr:rowOff>1025525</xdr:rowOff>
    </xdr:to>
    <xdr:grpSp>
      <xdr:nvGrpSpPr>
        <xdr:cNvPr id="4" name="Group 3"/>
        <xdr:cNvGrpSpPr/>
      </xdr:nvGrpSpPr>
      <xdr:grpSpPr>
        <a:xfrm>
          <a:off x="133351" y="273050"/>
          <a:ext cx="8796850" cy="914400"/>
          <a:chOff x="9525" y="180975"/>
          <a:chExt cx="9101405" cy="914400"/>
        </a:xfrm>
      </xdr:grpSpPr>
      <xdr:pic>
        <xdr:nvPicPr>
          <xdr:cNvPr id="2049" name="Picture 1" descr="SUNY_Logo_278and424"/>
          <xdr:cNvPicPr>
            <a:picLocks noChangeAspect="1" noChangeArrowheads="1"/>
          </xdr:cNvPicPr>
        </xdr:nvPicPr>
        <xdr:blipFill>
          <a:blip xmlns:r="http://schemas.openxmlformats.org/officeDocument/2006/relationships" r:embed="rId1" cstate="print"/>
          <a:srcRect/>
          <a:stretch>
            <a:fillRect/>
          </a:stretch>
        </xdr:blipFill>
        <xdr:spPr bwMode="auto">
          <a:xfrm>
            <a:off x="9525" y="180975"/>
            <a:ext cx="1857375" cy="914400"/>
          </a:xfrm>
          <a:prstGeom prst="rect">
            <a:avLst/>
          </a:prstGeom>
          <a:noFill/>
          <a:ln w="9525">
            <a:noFill/>
            <a:miter lim="800000"/>
            <a:headEnd/>
            <a:tailEnd/>
          </a:ln>
        </xdr:spPr>
      </xdr:pic>
      <xdr:pic>
        <xdr:nvPicPr>
          <xdr:cNvPr id="2050" name="Picture 2" descr="SUNY Excels logo RMG"/>
          <xdr:cNvPicPr>
            <a:picLocks noChangeAspect="1" noChangeArrowheads="1"/>
          </xdr:cNvPicPr>
        </xdr:nvPicPr>
        <xdr:blipFill>
          <a:blip xmlns:r="http://schemas.openxmlformats.org/officeDocument/2006/relationships" r:embed="rId2" cstate="print"/>
          <a:stretch>
            <a:fillRect/>
          </a:stretch>
        </xdr:blipFill>
        <xdr:spPr bwMode="auto">
          <a:xfrm>
            <a:off x="7502635" y="227558"/>
            <a:ext cx="1608295" cy="821234"/>
          </a:xfrm>
          <a:prstGeom prst="rect">
            <a:avLst/>
          </a:prstGeom>
          <a:noFill/>
          <a:ln w="9525">
            <a:noFill/>
            <a:miter lim="800000"/>
            <a:headEnd/>
            <a:tailEnd/>
          </a:ln>
        </xdr:spPr>
      </xdr:pic>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276225</xdr:colOff>
      <xdr:row>2</xdr:row>
      <xdr:rowOff>187355</xdr:rowOff>
    </xdr:from>
    <xdr:to>
      <xdr:col>14</xdr:col>
      <xdr:colOff>523875</xdr:colOff>
      <xdr:row>5</xdr:row>
      <xdr:rowOff>98934</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11363325" y="568355"/>
          <a:ext cx="914400" cy="48307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295274</xdr:colOff>
      <xdr:row>3</xdr:row>
      <xdr:rowOff>24730</xdr:rowOff>
    </xdr:from>
    <xdr:to>
      <xdr:col>13</xdr:col>
      <xdr:colOff>542924</xdr:colOff>
      <xdr:row>5</xdr:row>
      <xdr:rowOff>126809</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10496549" y="596230"/>
          <a:ext cx="914400" cy="4830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8136</xdr:colOff>
      <xdr:row>14</xdr:row>
      <xdr:rowOff>38100</xdr:rowOff>
    </xdr:from>
    <xdr:to>
      <xdr:col>41</xdr:col>
      <xdr:colOff>712357</xdr:colOff>
      <xdr:row>122</xdr:row>
      <xdr:rowOff>105076</xdr:rowOff>
    </xdr:to>
    <xdr:grpSp>
      <xdr:nvGrpSpPr>
        <xdr:cNvPr id="37" name="Group 36"/>
        <xdr:cNvGrpSpPr/>
      </xdr:nvGrpSpPr>
      <xdr:grpSpPr>
        <a:xfrm>
          <a:off x="11466711" y="2609850"/>
          <a:ext cx="12467596" cy="15306976"/>
          <a:chOff x="10866636" y="2286000"/>
          <a:chExt cx="12477121" cy="15840376"/>
        </a:xfrm>
      </xdr:grpSpPr>
      <xdr:graphicFrame macro="">
        <xdr:nvGraphicFramePr>
          <xdr:cNvPr id="3" name="Chart 2"/>
          <xdr:cNvGraphicFramePr/>
        </xdr:nvGraphicFramePr>
        <xdr:xfrm>
          <a:off x="10866636" y="2286000"/>
          <a:ext cx="4123944" cy="311890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15044812" y="2286000"/>
          <a:ext cx="4123944" cy="311890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xdr:nvGraphicFramePr>
        <xdr:xfrm>
          <a:off x="10866636" y="11767917"/>
          <a:ext cx="4123944" cy="314889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xdr:nvGraphicFramePr>
        <xdr:xfrm>
          <a:off x="15044812" y="11767917"/>
          <a:ext cx="4123944" cy="314889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xdr:cNvGraphicFramePr/>
        </xdr:nvGraphicFramePr>
        <xdr:xfrm>
          <a:off x="10866636" y="5453936"/>
          <a:ext cx="4123944" cy="310778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Chart 7"/>
          <xdr:cNvGraphicFramePr/>
        </xdr:nvGraphicFramePr>
        <xdr:xfrm>
          <a:off x="15044812" y="5453936"/>
          <a:ext cx="4123944" cy="310778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Chart 8"/>
          <xdr:cNvGraphicFramePr/>
        </xdr:nvGraphicFramePr>
        <xdr:xfrm>
          <a:off x="10866636" y="8610743"/>
          <a:ext cx="4123944" cy="3108147"/>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Chart 9"/>
          <xdr:cNvGraphicFramePr/>
        </xdr:nvGraphicFramePr>
        <xdr:xfrm>
          <a:off x="15044812" y="8610743"/>
          <a:ext cx="4123944" cy="3108147"/>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Chart 10"/>
          <xdr:cNvGraphicFramePr/>
        </xdr:nvGraphicFramePr>
        <xdr:xfrm>
          <a:off x="19219813" y="2286000"/>
          <a:ext cx="4123944" cy="3118909"/>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xdr:cNvGraphicFramePr/>
        </xdr:nvGraphicFramePr>
        <xdr:xfrm>
          <a:off x="19219813" y="11767917"/>
          <a:ext cx="4123944" cy="312504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3" name="Chart 12"/>
          <xdr:cNvGraphicFramePr/>
        </xdr:nvGraphicFramePr>
        <xdr:xfrm>
          <a:off x="19219813" y="5453936"/>
          <a:ext cx="4123944" cy="3097504"/>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4" name="Chart 13"/>
          <xdr:cNvGraphicFramePr/>
        </xdr:nvGraphicFramePr>
        <xdr:xfrm>
          <a:off x="19219813" y="8610743"/>
          <a:ext cx="4123944" cy="3117144"/>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5" name="Chart 14"/>
          <xdr:cNvGraphicFramePr/>
        </xdr:nvGraphicFramePr>
        <xdr:xfrm>
          <a:off x="10866636" y="14965840"/>
          <a:ext cx="4123944" cy="3158199"/>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6" name="Chart 15"/>
          <xdr:cNvGraphicFramePr/>
        </xdr:nvGraphicFramePr>
        <xdr:xfrm>
          <a:off x="15044812" y="14965840"/>
          <a:ext cx="4123944" cy="3158199"/>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7" name="Chart 16"/>
          <xdr:cNvGraphicFramePr/>
        </xdr:nvGraphicFramePr>
        <xdr:xfrm>
          <a:off x="19219813" y="14965840"/>
          <a:ext cx="4123944" cy="3160536"/>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32</xdr:col>
      <xdr:colOff>242912</xdr:colOff>
      <xdr:row>87</xdr:row>
      <xdr:rowOff>129546</xdr:rowOff>
    </xdr:from>
    <xdr:to>
      <xdr:col>35</xdr:col>
      <xdr:colOff>165552</xdr:colOff>
      <xdr:row>88</xdr:row>
      <xdr:rowOff>77361</xdr:rowOff>
    </xdr:to>
    <xdr:grpSp>
      <xdr:nvGrpSpPr>
        <xdr:cNvPr id="21" name="Group 20"/>
        <xdr:cNvGrpSpPr/>
      </xdr:nvGrpSpPr>
      <xdr:grpSpPr>
        <a:xfrm>
          <a:off x="16778312" y="13521696"/>
          <a:ext cx="2208640" cy="90690"/>
          <a:chOff x="15254505" y="13092249"/>
          <a:chExt cx="2214442" cy="92866"/>
        </a:xfrm>
      </xdr:grpSpPr>
      <xdr:cxnSp macro="">
        <xdr:nvCxnSpPr>
          <xdr:cNvPr id="22" name="Straight Connector 21"/>
          <xdr:cNvCxnSpPr/>
        </xdr:nvCxnSpPr>
        <xdr:spPr>
          <a:xfrm flipV="1">
            <a:off x="15254505" y="13093249"/>
            <a:ext cx="1083046" cy="91866"/>
          </a:xfrm>
          <a:prstGeom prst="line">
            <a:avLst/>
          </a:prstGeom>
          <a:ln w="66675" cap="rnd" cmpd="sng">
            <a:prstDash val="sysDot"/>
          </a:ln>
        </xdr:spPr>
        <xdr:style>
          <a:lnRef idx="1">
            <a:schemeClr val="dk1"/>
          </a:lnRef>
          <a:fillRef idx="0">
            <a:schemeClr val="dk1"/>
          </a:fillRef>
          <a:effectRef idx="0">
            <a:schemeClr val="dk1"/>
          </a:effectRef>
          <a:fontRef idx="minor">
            <a:schemeClr val="tx1"/>
          </a:fontRef>
        </xdr:style>
      </xdr:cxnSp>
      <xdr:cxnSp macro="">
        <xdr:nvCxnSpPr>
          <xdr:cNvPr id="23" name="Straight Connector 22"/>
          <xdr:cNvCxnSpPr/>
        </xdr:nvCxnSpPr>
        <xdr:spPr>
          <a:xfrm>
            <a:off x="16347244" y="13092249"/>
            <a:ext cx="1121703" cy="39680"/>
          </a:xfrm>
          <a:prstGeom prst="line">
            <a:avLst/>
          </a:prstGeom>
          <a:ln w="66675" cap="rnd" cmpd="sng">
            <a:prstDash val="sysDot"/>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38</xdr:col>
      <xdr:colOff>10685</xdr:colOff>
      <xdr:row>82</xdr:row>
      <xdr:rowOff>9670</xdr:rowOff>
    </xdr:from>
    <xdr:to>
      <xdr:col>40</xdr:col>
      <xdr:colOff>696968</xdr:colOff>
      <xdr:row>83</xdr:row>
      <xdr:rowOff>29011</xdr:rowOff>
    </xdr:to>
    <xdr:grpSp>
      <xdr:nvGrpSpPr>
        <xdr:cNvPr id="24" name="Group 23"/>
        <xdr:cNvGrpSpPr/>
      </xdr:nvGrpSpPr>
      <xdr:grpSpPr>
        <a:xfrm>
          <a:off x="20946635" y="12687445"/>
          <a:ext cx="2210283" cy="162216"/>
          <a:chOff x="19422297" y="12247119"/>
          <a:chExt cx="2195101" cy="164392"/>
        </a:xfrm>
      </xdr:grpSpPr>
      <xdr:cxnSp macro="">
        <xdr:nvCxnSpPr>
          <xdr:cNvPr id="25" name="Straight Connector 24"/>
          <xdr:cNvCxnSpPr/>
        </xdr:nvCxnSpPr>
        <xdr:spPr>
          <a:xfrm flipV="1">
            <a:off x="19422297" y="12247119"/>
            <a:ext cx="1083046" cy="164392"/>
          </a:xfrm>
          <a:prstGeom prst="line">
            <a:avLst/>
          </a:prstGeom>
          <a:ln w="66675" cap="rnd" cmpd="sng">
            <a:solidFill>
              <a:schemeClr val="bg1">
                <a:lumMod val="75000"/>
              </a:schemeClr>
            </a:solidFill>
            <a:prstDash val="sysDot"/>
          </a:ln>
        </xdr:spPr>
        <xdr:style>
          <a:lnRef idx="1">
            <a:schemeClr val="dk1"/>
          </a:lnRef>
          <a:fillRef idx="0">
            <a:schemeClr val="dk1"/>
          </a:fillRef>
          <a:effectRef idx="0">
            <a:schemeClr val="dk1"/>
          </a:effectRef>
          <a:fontRef idx="minor">
            <a:schemeClr val="tx1"/>
          </a:fontRef>
        </xdr:style>
      </xdr:cxnSp>
      <xdr:cxnSp macro="">
        <xdr:nvCxnSpPr>
          <xdr:cNvPr id="26" name="Straight Connector 25"/>
          <xdr:cNvCxnSpPr/>
        </xdr:nvCxnSpPr>
        <xdr:spPr>
          <a:xfrm>
            <a:off x="20510178" y="12247119"/>
            <a:ext cx="1107220" cy="4835"/>
          </a:xfrm>
          <a:prstGeom prst="line">
            <a:avLst/>
          </a:prstGeom>
          <a:ln w="66675" cap="rnd" cmpd="sng">
            <a:solidFill>
              <a:schemeClr val="bg1">
                <a:lumMod val="75000"/>
              </a:schemeClr>
            </a:solidFill>
            <a:prstDash val="sysDot"/>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0</xdr:colOff>
      <xdr:row>123</xdr:row>
      <xdr:rowOff>95250</xdr:rowOff>
    </xdr:from>
    <xdr:to>
      <xdr:col>43</xdr:col>
      <xdr:colOff>133350</xdr:colOff>
      <xdr:row>127</xdr:row>
      <xdr:rowOff>114310</xdr:rowOff>
    </xdr:to>
    <xdr:grpSp>
      <xdr:nvGrpSpPr>
        <xdr:cNvPr id="38" name="Group 37"/>
        <xdr:cNvGrpSpPr/>
      </xdr:nvGrpSpPr>
      <xdr:grpSpPr>
        <a:xfrm>
          <a:off x="21697950" y="18049875"/>
          <a:ext cx="2562225" cy="590560"/>
          <a:chOff x="20881975" y="17335500"/>
          <a:chExt cx="2581275" cy="669482"/>
        </a:xfrm>
      </xdr:grpSpPr>
      <xdr:grpSp>
        <xdr:nvGrpSpPr>
          <xdr:cNvPr id="39" name="Group 21"/>
          <xdr:cNvGrpSpPr/>
        </xdr:nvGrpSpPr>
        <xdr:grpSpPr>
          <a:xfrm>
            <a:off x="20881975" y="17335500"/>
            <a:ext cx="2581275" cy="276225"/>
            <a:chOff x="20472400" y="17325975"/>
            <a:chExt cx="2581275" cy="276225"/>
          </a:xfrm>
          <a:noFill/>
        </xdr:grpSpPr>
        <xdr:sp macro="" textlink="">
          <xdr:nvSpPr>
            <xdr:cNvPr id="46" name="TextBox 45"/>
            <xdr:cNvSpPr txBox="1"/>
          </xdr:nvSpPr>
          <xdr:spPr>
            <a:xfrm>
              <a:off x="21301075" y="17325975"/>
              <a:ext cx="1752600" cy="27622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National</a:t>
              </a:r>
              <a:r>
                <a:rPr lang="en-US" sz="1100"/>
                <a:t> </a:t>
              </a:r>
              <a:r>
                <a:rPr lang="en-US" sz="1400"/>
                <a:t>Benchmarks</a:t>
              </a:r>
              <a:endParaRPr lang="en-US" sz="1100"/>
            </a:p>
          </xdr:txBody>
        </xdr:sp>
        <xdr:cxnSp macro="">
          <xdr:nvCxnSpPr>
            <xdr:cNvPr id="47" name="Straight Connector 46"/>
            <xdr:cNvCxnSpPr/>
          </xdr:nvCxnSpPr>
          <xdr:spPr>
            <a:xfrm>
              <a:off x="20472400" y="17459325"/>
              <a:ext cx="790575" cy="0"/>
            </a:xfrm>
            <a:prstGeom prst="line">
              <a:avLst/>
            </a:prstGeom>
            <a:grpFill/>
            <a:ln w="69850" cap="rnd" cmpd="sng">
              <a:prstDash val="sysDash"/>
            </a:ln>
          </xdr:spPr>
          <xdr:style>
            <a:lnRef idx="1">
              <a:schemeClr val="dk1"/>
            </a:lnRef>
            <a:fillRef idx="0">
              <a:schemeClr val="dk1"/>
            </a:fillRef>
            <a:effectRef idx="0">
              <a:schemeClr val="dk1"/>
            </a:effectRef>
            <a:fontRef idx="minor">
              <a:schemeClr val="tx1"/>
            </a:fontRef>
          </xdr:style>
        </xdr:cxnSp>
      </xdr:grpSp>
      <xdr:grpSp>
        <xdr:nvGrpSpPr>
          <xdr:cNvPr id="40" name="Group 27"/>
          <xdr:cNvGrpSpPr/>
        </xdr:nvGrpSpPr>
        <xdr:grpSpPr>
          <a:xfrm>
            <a:off x="20881975" y="17526699"/>
            <a:ext cx="2581275" cy="276225"/>
            <a:chOff x="20472400" y="17285399"/>
            <a:chExt cx="2581275" cy="276225"/>
          </a:xfrm>
          <a:noFill/>
        </xdr:grpSpPr>
        <xdr:sp macro="" textlink="">
          <xdr:nvSpPr>
            <xdr:cNvPr id="44" name="TextBox 43"/>
            <xdr:cNvSpPr txBox="1"/>
          </xdr:nvSpPr>
          <xdr:spPr>
            <a:xfrm>
              <a:off x="21301075" y="17285399"/>
              <a:ext cx="1752600" cy="27622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4 Yr Public</a:t>
              </a:r>
              <a:endParaRPr lang="en-US" sz="1100"/>
            </a:p>
          </xdr:txBody>
        </xdr:sp>
        <xdr:cxnSp macro="">
          <xdr:nvCxnSpPr>
            <xdr:cNvPr id="45" name="Straight Connector 44"/>
            <xdr:cNvCxnSpPr/>
          </xdr:nvCxnSpPr>
          <xdr:spPr>
            <a:xfrm>
              <a:off x="20472400" y="17418749"/>
              <a:ext cx="790575" cy="0"/>
            </a:xfrm>
            <a:prstGeom prst="line">
              <a:avLst/>
            </a:prstGeom>
            <a:grpFill/>
            <a:ln w="69850" cap="rnd" cmpd="sng">
              <a:prstDash val="sysDot"/>
            </a:ln>
          </xdr:spPr>
          <xdr:style>
            <a:lnRef idx="1">
              <a:schemeClr val="dk1"/>
            </a:lnRef>
            <a:fillRef idx="0">
              <a:schemeClr val="dk1"/>
            </a:fillRef>
            <a:effectRef idx="0">
              <a:schemeClr val="dk1"/>
            </a:effectRef>
            <a:fontRef idx="minor">
              <a:schemeClr val="tx1"/>
            </a:fontRef>
          </xdr:style>
        </xdr:cxnSp>
      </xdr:grpSp>
      <xdr:grpSp>
        <xdr:nvGrpSpPr>
          <xdr:cNvPr id="41" name="Group 35"/>
          <xdr:cNvGrpSpPr/>
        </xdr:nvGrpSpPr>
        <xdr:grpSpPr>
          <a:xfrm>
            <a:off x="20881975" y="17728757"/>
            <a:ext cx="2581275" cy="276225"/>
            <a:chOff x="20472400" y="17214407"/>
            <a:chExt cx="2581275" cy="276225"/>
          </a:xfrm>
          <a:noFill/>
        </xdr:grpSpPr>
        <xdr:sp macro="" textlink="">
          <xdr:nvSpPr>
            <xdr:cNvPr id="42" name="TextBox 41"/>
            <xdr:cNvSpPr txBox="1"/>
          </xdr:nvSpPr>
          <xdr:spPr>
            <a:xfrm>
              <a:off x="21301075" y="17214407"/>
              <a:ext cx="1752600" cy="27622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t>2 Yr Public</a:t>
              </a:r>
              <a:endParaRPr lang="en-US" sz="1100"/>
            </a:p>
          </xdr:txBody>
        </xdr:sp>
        <xdr:cxnSp macro="">
          <xdr:nvCxnSpPr>
            <xdr:cNvPr id="43" name="Straight Connector 42"/>
            <xdr:cNvCxnSpPr/>
          </xdr:nvCxnSpPr>
          <xdr:spPr>
            <a:xfrm>
              <a:off x="20472400" y="17347758"/>
              <a:ext cx="790575" cy="0"/>
            </a:xfrm>
            <a:prstGeom prst="line">
              <a:avLst/>
            </a:prstGeom>
            <a:grpFill/>
            <a:ln w="69850" cap="rnd" cmpd="sng">
              <a:solidFill>
                <a:schemeClr val="bg1">
                  <a:lumMod val="75000"/>
                </a:schemeClr>
              </a:solidFill>
              <a:prstDash val="sysDot"/>
            </a:ln>
          </xdr:spPr>
          <xdr:style>
            <a:lnRef idx="1">
              <a:schemeClr val="dk1"/>
            </a:lnRef>
            <a:fillRef idx="0">
              <a:schemeClr val="dk1"/>
            </a:fillRef>
            <a:effectRef idx="0">
              <a:schemeClr val="dk1"/>
            </a:effectRef>
            <a:fontRef idx="minor">
              <a:schemeClr val="tx1"/>
            </a:fontRef>
          </xdr:style>
        </xdr:cxnSp>
      </xdr:grpSp>
    </xdr:grpSp>
    <xdr:clientData/>
  </xdr:twoCellAnchor>
</xdr:wsDr>
</file>

<file path=xl/drawings/drawing4.xml><?xml version="1.0" encoding="utf-8"?>
<c:userShapes xmlns:c="http://schemas.openxmlformats.org/drawingml/2006/chart">
  <cdr:relSizeAnchor xmlns:cdr="http://schemas.openxmlformats.org/drawingml/2006/chartDrawing">
    <cdr:from>
      <cdr:x>0.13309</cdr:x>
      <cdr:y>0.9083</cdr:y>
    </cdr:from>
    <cdr:to>
      <cdr:x>0.90857</cdr:x>
      <cdr:y>0.96607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52450" y="2695575"/>
          <a:ext cx="3219048" cy="171429"/>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editAs="oneCell">
    <xdr:from>
      <xdr:col>12</xdr:col>
      <xdr:colOff>400049</xdr:colOff>
      <xdr:row>3</xdr:row>
      <xdr:rowOff>25338</xdr:rowOff>
    </xdr:from>
    <xdr:to>
      <xdr:col>13</xdr:col>
      <xdr:colOff>647698</xdr:colOff>
      <xdr:row>5</xdr:row>
      <xdr:rowOff>127417</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9734549" y="596838"/>
          <a:ext cx="914399" cy="4830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409574</xdr:colOff>
      <xdr:row>3</xdr:row>
      <xdr:rowOff>43602</xdr:rowOff>
    </xdr:from>
    <xdr:to>
      <xdr:col>11</xdr:col>
      <xdr:colOff>657223</xdr:colOff>
      <xdr:row>5</xdr:row>
      <xdr:rowOff>145681</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9991724" y="615102"/>
          <a:ext cx="914399" cy="4830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381000</xdr:colOff>
      <xdr:row>3</xdr:row>
      <xdr:rowOff>85725</xdr:rowOff>
    </xdr:from>
    <xdr:to>
      <xdr:col>13</xdr:col>
      <xdr:colOff>628649</xdr:colOff>
      <xdr:row>5</xdr:row>
      <xdr:rowOff>121129</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9715500" y="657225"/>
          <a:ext cx="914399" cy="4830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295274</xdr:colOff>
      <xdr:row>4</xdr:row>
      <xdr:rowOff>43668</xdr:rowOff>
    </xdr:from>
    <xdr:to>
      <xdr:col>13</xdr:col>
      <xdr:colOff>542924</xdr:colOff>
      <xdr:row>6</xdr:row>
      <xdr:rowOff>145747</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9810749" y="805668"/>
          <a:ext cx="914400" cy="4830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352425</xdr:colOff>
      <xdr:row>4</xdr:row>
      <xdr:rowOff>0</xdr:rowOff>
    </xdr:from>
    <xdr:to>
      <xdr:col>13</xdr:col>
      <xdr:colOff>600075</xdr:colOff>
      <xdr:row>6</xdr:row>
      <xdr:rowOff>102079</xdr:rowOff>
    </xdr:to>
    <xdr:pic>
      <xdr:nvPicPr>
        <xdr:cNvPr id="2" name="Picture 1" descr="SUNY Excels logo RMG.png"/>
        <xdr:cNvPicPr>
          <a:picLocks noChangeAspect="1"/>
        </xdr:cNvPicPr>
      </xdr:nvPicPr>
      <xdr:blipFill>
        <a:blip xmlns:r="http://schemas.openxmlformats.org/officeDocument/2006/relationships" r:embed="rId1" cstate="print"/>
        <a:stretch>
          <a:fillRect/>
        </a:stretch>
      </xdr:blipFill>
      <xdr:spPr>
        <a:xfrm>
          <a:off x="9801225" y="762000"/>
          <a:ext cx="914400" cy="4830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ategic%20Planning\Projects\Power%20of%20SUNY%20Implementation\Report%20Card\data\2009-10%20(Sept%202011)\Report%20Card%20-%20DC%20Data%20Collection%202009-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acere\AppData\Local\Microsoft\Windows\Temporary%20Internet%20Files\Content.Outlook\L9GV8TAJ\Community%20College%20Presidential%20Evaluation%202011%20Dashboard-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ef"/>
      <sheetName val="RO Summary"/>
      <sheetName val="Mock tables and Charts"/>
      <sheetName val="Mock Report Card"/>
      <sheetName val="Data for Diversity Counts"/>
      <sheetName val="Trend Report"/>
      <sheetName val="2 - Graduation"/>
      <sheetName val="Diversity Counts"/>
      <sheetName val="1 - Retention"/>
      <sheetName val="5 - Time to Degree"/>
      <sheetName val="7 - HU and ED population"/>
      <sheetName val="9 - Student by Ethnicity Level"/>
      <sheetName val="10 - EmployeebyEthnicity FT PT"/>
      <sheetName val="11 - STEM"/>
      <sheetName val="13 - HealthCredentialsbyDegree"/>
      <sheetName val="16 - O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Pres Eval Table 2011"/>
      <sheetName val="CC Database"/>
    </sheetNames>
    <sheetDataSet>
      <sheetData sheetId="0"/>
      <sheetData sheetId="1">
        <row r="6">
          <cell r="F6">
            <v>0</v>
          </cell>
          <cell r="G6" t="str">
            <v>Community Colleges</v>
          </cell>
          <cell r="H6">
            <v>208370</v>
          </cell>
          <cell r="I6">
            <v>209059</v>
          </cell>
          <cell r="J6">
            <v>214129</v>
          </cell>
          <cell r="K6">
            <v>220995</v>
          </cell>
          <cell r="L6">
            <v>239240</v>
          </cell>
          <cell r="M6">
            <v>249347</v>
          </cell>
          <cell r="N6">
            <v>246649</v>
          </cell>
          <cell r="O6">
            <v>255331</v>
          </cell>
        </row>
        <row r="7">
          <cell r="F7">
            <v>1</v>
          </cell>
          <cell r="G7" t="str">
            <v>Adirondack</v>
          </cell>
          <cell r="H7">
            <v>3493</v>
          </cell>
          <cell r="I7">
            <v>3604</v>
          </cell>
          <cell r="J7">
            <v>3408</v>
          </cell>
          <cell r="K7">
            <v>3463</v>
          </cell>
          <cell r="L7">
            <v>3873</v>
          </cell>
          <cell r="M7">
            <v>4136</v>
          </cell>
          <cell r="N7">
            <v>4096</v>
          </cell>
          <cell r="O7">
            <v>4025</v>
          </cell>
        </row>
        <row r="8">
          <cell r="F8">
            <v>2</v>
          </cell>
          <cell r="G8" t="str">
            <v>Broome</v>
          </cell>
          <cell r="H8">
            <v>6230</v>
          </cell>
          <cell r="I8">
            <v>6282</v>
          </cell>
          <cell r="J8">
            <v>6558</v>
          </cell>
          <cell r="K8">
            <v>6625</v>
          </cell>
          <cell r="L8">
            <v>6877</v>
          </cell>
          <cell r="M8">
            <v>6177</v>
          </cell>
          <cell r="N8">
            <v>6734</v>
          </cell>
          <cell r="O8">
            <v>7708</v>
          </cell>
        </row>
        <row r="9">
          <cell r="F9">
            <v>3</v>
          </cell>
          <cell r="G9" t="str">
            <v>Cayuga</v>
          </cell>
          <cell r="H9">
            <v>3841</v>
          </cell>
          <cell r="I9">
            <v>3869</v>
          </cell>
          <cell r="J9">
            <v>4050</v>
          </cell>
          <cell r="K9">
            <v>3900</v>
          </cell>
          <cell r="L9">
            <v>4798</v>
          </cell>
          <cell r="M9">
            <v>4719</v>
          </cell>
          <cell r="N9">
            <v>4797</v>
          </cell>
          <cell r="O9">
            <v>4793</v>
          </cell>
        </row>
        <row r="10">
          <cell r="F10">
            <v>4</v>
          </cell>
          <cell r="G10" t="str">
            <v>Clinton</v>
          </cell>
          <cell r="H10">
            <v>2301</v>
          </cell>
          <cell r="I10">
            <v>2170</v>
          </cell>
          <cell r="J10">
            <v>2120</v>
          </cell>
          <cell r="K10">
            <v>2067</v>
          </cell>
          <cell r="L10">
            <v>2246</v>
          </cell>
          <cell r="M10">
            <v>2352</v>
          </cell>
          <cell r="N10">
            <v>2300</v>
          </cell>
          <cell r="O10">
            <v>2300</v>
          </cell>
        </row>
        <row r="11">
          <cell r="F11">
            <v>5</v>
          </cell>
          <cell r="G11" t="str">
            <v>Columbia-Greene</v>
          </cell>
          <cell r="H11">
            <v>1728</v>
          </cell>
          <cell r="I11">
            <v>1770</v>
          </cell>
          <cell r="J11">
            <v>1823</v>
          </cell>
          <cell r="K11">
            <v>1839</v>
          </cell>
          <cell r="L11">
            <v>2048</v>
          </cell>
          <cell r="M11">
            <v>2031</v>
          </cell>
          <cell r="N11">
            <v>1955</v>
          </cell>
          <cell r="O11">
            <v>1880</v>
          </cell>
        </row>
        <row r="12">
          <cell r="F12">
            <v>6</v>
          </cell>
          <cell r="G12" t="str">
            <v>Corning</v>
          </cell>
          <cell r="H12">
            <v>5308</v>
          </cell>
          <cell r="I12">
            <v>4693</v>
          </cell>
          <cell r="J12">
            <v>5072</v>
          </cell>
          <cell r="K12">
            <v>5190</v>
          </cell>
          <cell r="L12">
            <v>5671</v>
          </cell>
          <cell r="M12">
            <v>5394</v>
          </cell>
          <cell r="N12">
            <v>5395</v>
          </cell>
          <cell r="O12">
            <v>5564</v>
          </cell>
        </row>
        <row r="13">
          <cell r="F13">
            <v>7</v>
          </cell>
          <cell r="G13" t="str">
            <v>Dutchess</v>
          </cell>
          <cell r="H13">
            <v>8020</v>
          </cell>
          <cell r="I13">
            <v>7928</v>
          </cell>
          <cell r="J13">
            <v>8248</v>
          </cell>
          <cell r="K13">
            <v>8502</v>
          </cell>
          <cell r="L13">
            <v>9823</v>
          </cell>
          <cell r="M13">
            <v>10329</v>
          </cell>
          <cell r="N13">
            <v>10317</v>
          </cell>
          <cell r="O13">
            <v>10454</v>
          </cell>
        </row>
        <row r="14">
          <cell r="F14">
            <v>8</v>
          </cell>
          <cell r="G14" t="str">
            <v>Erie</v>
          </cell>
          <cell r="H14">
            <v>12657</v>
          </cell>
          <cell r="I14">
            <v>13012</v>
          </cell>
          <cell r="J14">
            <v>13053</v>
          </cell>
          <cell r="K14">
            <v>13703</v>
          </cell>
          <cell r="L14">
            <v>14823</v>
          </cell>
          <cell r="M14">
            <v>15084</v>
          </cell>
          <cell r="N14">
            <v>15240</v>
          </cell>
          <cell r="O14">
            <v>15899</v>
          </cell>
        </row>
        <row r="15">
          <cell r="F15">
            <v>9</v>
          </cell>
          <cell r="G15" t="str">
            <v>Fashion Institute</v>
          </cell>
          <cell r="H15">
            <v>10381</v>
          </cell>
          <cell r="I15">
            <v>10010</v>
          </cell>
          <cell r="J15">
            <v>9938</v>
          </cell>
          <cell r="K15">
            <v>10065</v>
          </cell>
          <cell r="L15">
            <v>10413</v>
          </cell>
          <cell r="M15">
            <v>10386</v>
          </cell>
          <cell r="N15">
            <v>10365</v>
          </cell>
          <cell r="O15">
            <v>10404</v>
          </cell>
        </row>
        <row r="16">
          <cell r="F16">
            <v>10</v>
          </cell>
          <cell r="G16" t="str">
            <v>Finger Lakes</v>
          </cell>
          <cell r="H16">
            <v>4910</v>
          </cell>
          <cell r="I16">
            <v>5150</v>
          </cell>
          <cell r="J16">
            <v>5351</v>
          </cell>
          <cell r="K16">
            <v>5750</v>
          </cell>
          <cell r="L16">
            <v>6699</v>
          </cell>
          <cell r="M16">
            <v>6935</v>
          </cell>
          <cell r="N16">
            <v>6947</v>
          </cell>
          <cell r="O16">
            <v>7745</v>
          </cell>
        </row>
        <row r="17">
          <cell r="F17">
            <v>11</v>
          </cell>
          <cell r="G17" t="str">
            <v>Fulton-Montgomery</v>
          </cell>
          <cell r="H17">
            <v>2203</v>
          </cell>
          <cell r="I17">
            <v>2157</v>
          </cell>
          <cell r="J17">
            <v>2235</v>
          </cell>
          <cell r="K17">
            <v>2420</v>
          </cell>
          <cell r="L17">
            <v>2732</v>
          </cell>
          <cell r="M17">
            <v>2833</v>
          </cell>
          <cell r="N17">
            <v>2889</v>
          </cell>
          <cell r="O17">
            <v>2829</v>
          </cell>
        </row>
        <row r="18">
          <cell r="F18">
            <v>12</v>
          </cell>
          <cell r="G18" t="str">
            <v>Genesee</v>
          </cell>
          <cell r="H18">
            <v>6490</v>
          </cell>
          <cell r="I18">
            <v>6503</v>
          </cell>
          <cell r="J18">
            <v>6472</v>
          </cell>
          <cell r="K18">
            <v>6672</v>
          </cell>
          <cell r="L18">
            <v>7208</v>
          </cell>
          <cell r="M18">
            <v>7486</v>
          </cell>
          <cell r="N18">
            <v>7304</v>
          </cell>
          <cell r="O18">
            <v>7608</v>
          </cell>
        </row>
        <row r="19">
          <cell r="F19">
            <v>13</v>
          </cell>
          <cell r="G19" t="str">
            <v>Herkimer</v>
          </cell>
          <cell r="H19">
            <v>3549</v>
          </cell>
          <cell r="I19">
            <v>3354</v>
          </cell>
          <cell r="J19">
            <v>3328</v>
          </cell>
          <cell r="K19">
            <v>3524</v>
          </cell>
          <cell r="L19">
            <v>4009</v>
          </cell>
          <cell r="M19">
            <v>3774</v>
          </cell>
          <cell r="N19">
            <v>3704</v>
          </cell>
          <cell r="O19">
            <v>3701</v>
          </cell>
        </row>
        <row r="20">
          <cell r="F20">
            <v>14</v>
          </cell>
          <cell r="G20" t="str">
            <v>Hudson Valley</v>
          </cell>
          <cell r="H20">
            <v>12143</v>
          </cell>
          <cell r="I20">
            <v>11952</v>
          </cell>
          <cell r="J20">
            <v>12296</v>
          </cell>
          <cell r="K20">
            <v>12674</v>
          </cell>
          <cell r="L20">
            <v>13320</v>
          </cell>
          <cell r="M20">
            <v>13798</v>
          </cell>
          <cell r="N20">
            <v>14011</v>
          </cell>
          <cell r="O20">
            <v>14095</v>
          </cell>
        </row>
        <row r="21">
          <cell r="F21">
            <v>15</v>
          </cell>
          <cell r="G21" t="str">
            <v>Jamestown</v>
          </cell>
          <cell r="H21">
            <v>3663</v>
          </cell>
          <cell r="I21">
            <v>3711</v>
          </cell>
          <cell r="J21">
            <v>3361</v>
          </cell>
          <cell r="K21">
            <v>3697</v>
          </cell>
          <cell r="L21">
            <v>4024</v>
          </cell>
          <cell r="M21">
            <v>5685</v>
          </cell>
          <cell r="N21">
            <v>3597</v>
          </cell>
          <cell r="O21">
            <v>2801</v>
          </cell>
        </row>
        <row r="22">
          <cell r="F22">
            <v>16</v>
          </cell>
          <cell r="G22" t="str">
            <v>Jefferson</v>
          </cell>
          <cell r="H22">
            <v>3585</v>
          </cell>
          <cell r="I22">
            <v>3245</v>
          </cell>
          <cell r="J22">
            <v>3191</v>
          </cell>
          <cell r="K22">
            <v>3184</v>
          </cell>
          <cell r="L22">
            <v>3314</v>
          </cell>
          <cell r="M22">
            <v>3738</v>
          </cell>
          <cell r="N22">
            <v>3598</v>
          </cell>
          <cell r="O22">
            <v>3895</v>
          </cell>
        </row>
        <row r="23">
          <cell r="F23">
            <v>17</v>
          </cell>
          <cell r="G23" t="str">
            <v>Mohawk Valley</v>
          </cell>
          <cell r="H23">
            <v>5984</v>
          </cell>
          <cell r="I23">
            <v>5890</v>
          </cell>
          <cell r="J23">
            <v>6044</v>
          </cell>
          <cell r="K23">
            <v>6184</v>
          </cell>
          <cell r="L23">
            <v>6667</v>
          </cell>
          <cell r="M23">
            <v>7155</v>
          </cell>
          <cell r="N23">
            <v>7378</v>
          </cell>
          <cell r="O23">
            <v>7267</v>
          </cell>
        </row>
        <row r="24">
          <cell r="F24">
            <v>18</v>
          </cell>
          <cell r="G24" t="str">
            <v>Monroe</v>
          </cell>
          <cell r="H24">
            <v>17294</v>
          </cell>
          <cell r="I24">
            <v>17110</v>
          </cell>
          <cell r="J24">
            <v>17482</v>
          </cell>
          <cell r="K24">
            <v>18114</v>
          </cell>
          <cell r="L24">
            <v>18977</v>
          </cell>
          <cell r="M24">
            <v>18995</v>
          </cell>
          <cell r="N24">
            <v>18901</v>
          </cell>
          <cell r="O24">
            <v>19798</v>
          </cell>
        </row>
        <row r="25">
          <cell r="F25">
            <v>19</v>
          </cell>
          <cell r="G25" t="str">
            <v>Nassau</v>
          </cell>
          <cell r="H25">
            <v>20979</v>
          </cell>
          <cell r="I25">
            <v>21229</v>
          </cell>
          <cell r="J25">
            <v>21483</v>
          </cell>
          <cell r="K25">
            <v>21794</v>
          </cell>
          <cell r="L25">
            <v>22719</v>
          </cell>
          <cell r="M25">
            <v>23767</v>
          </cell>
          <cell r="N25">
            <v>22976</v>
          </cell>
          <cell r="O25">
            <v>22635</v>
          </cell>
        </row>
        <row r="26">
          <cell r="F26">
            <v>20</v>
          </cell>
          <cell r="G26" t="str">
            <v>Niagara</v>
          </cell>
          <cell r="H26">
            <v>5421</v>
          </cell>
          <cell r="I26">
            <v>5932</v>
          </cell>
          <cell r="J26">
            <v>6331</v>
          </cell>
          <cell r="K26">
            <v>6667</v>
          </cell>
          <cell r="L26">
            <v>7279</v>
          </cell>
          <cell r="M26">
            <v>7428</v>
          </cell>
          <cell r="N26">
            <v>7840</v>
          </cell>
          <cell r="O26">
            <v>7950</v>
          </cell>
        </row>
        <row r="27">
          <cell r="F27">
            <v>21</v>
          </cell>
          <cell r="G27" t="str">
            <v>North Country</v>
          </cell>
          <cell r="H27">
            <v>1605</v>
          </cell>
          <cell r="I27">
            <v>1636</v>
          </cell>
          <cell r="J27">
            <v>1739</v>
          </cell>
          <cell r="K27">
            <v>1965</v>
          </cell>
          <cell r="L27">
            <v>2198</v>
          </cell>
          <cell r="M27">
            <v>2242</v>
          </cell>
          <cell r="N27">
            <v>2319</v>
          </cell>
          <cell r="O27">
            <v>2335</v>
          </cell>
        </row>
        <row r="28">
          <cell r="F28">
            <v>22</v>
          </cell>
          <cell r="G28" t="str">
            <v>Onondaga</v>
          </cell>
          <cell r="H28">
            <v>8263</v>
          </cell>
          <cell r="I28">
            <v>9393</v>
          </cell>
          <cell r="J28">
            <v>10637</v>
          </cell>
          <cell r="K28">
            <v>10712</v>
          </cell>
          <cell r="L28">
            <v>12038</v>
          </cell>
          <cell r="M28">
            <v>11785</v>
          </cell>
          <cell r="N28">
            <v>11784</v>
          </cell>
          <cell r="O28">
            <v>13520</v>
          </cell>
        </row>
        <row r="29">
          <cell r="F29">
            <v>23</v>
          </cell>
          <cell r="G29" t="str">
            <v>Orange</v>
          </cell>
          <cell r="H29">
            <v>6441</v>
          </cell>
          <cell r="I29">
            <v>6523</v>
          </cell>
          <cell r="J29">
            <v>6602</v>
          </cell>
          <cell r="K29">
            <v>6763</v>
          </cell>
          <cell r="L29">
            <v>6876</v>
          </cell>
          <cell r="M29">
            <v>7066</v>
          </cell>
          <cell r="N29">
            <v>7320</v>
          </cell>
          <cell r="O29">
            <v>8152</v>
          </cell>
        </row>
        <row r="30">
          <cell r="F30">
            <v>24</v>
          </cell>
          <cell r="G30" t="str">
            <v>Rockland</v>
          </cell>
          <cell r="H30">
            <v>6325</v>
          </cell>
          <cell r="I30">
            <v>6171</v>
          </cell>
          <cell r="J30">
            <v>6653</v>
          </cell>
          <cell r="K30">
            <v>6987</v>
          </cell>
          <cell r="L30">
            <v>7283</v>
          </cell>
          <cell r="M30">
            <v>8077</v>
          </cell>
          <cell r="N30">
            <v>8018</v>
          </cell>
          <cell r="O30">
            <v>8594</v>
          </cell>
        </row>
        <row r="31">
          <cell r="F31">
            <v>25</v>
          </cell>
          <cell r="G31" t="str">
            <v>Schenectady</v>
          </cell>
          <cell r="H31">
            <v>4755</v>
          </cell>
          <cell r="I31">
            <v>4411</v>
          </cell>
          <cell r="J31">
            <v>4367</v>
          </cell>
          <cell r="K31">
            <v>4847</v>
          </cell>
          <cell r="L31">
            <v>5191</v>
          </cell>
          <cell r="M31">
            <v>6415</v>
          </cell>
          <cell r="N31">
            <v>6608</v>
          </cell>
          <cell r="O31">
            <v>6975</v>
          </cell>
        </row>
        <row r="32">
          <cell r="F32">
            <v>26</v>
          </cell>
          <cell r="G32" t="str">
            <v>Suffolk</v>
          </cell>
          <cell r="H32">
            <v>21180</v>
          </cell>
          <cell r="I32">
            <v>21859</v>
          </cell>
          <cell r="J32">
            <v>22092</v>
          </cell>
          <cell r="K32">
            <v>23014</v>
          </cell>
          <cell r="L32">
            <v>24822</v>
          </cell>
          <cell r="M32">
            <v>26719</v>
          </cell>
          <cell r="N32">
            <v>27248</v>
          </cell>
          <cell r="O32">
            <v>28348</v>
          </cell>
        </row>
        <row r="33">
          <cell r="F33">
            <v>27</v>
          </cell>
          <cell r="G33" t="str">
            <v>Sullivan</v>
          </cell>
          <cell r="H33">
            <v>1684</v>
          </cell>
          <cell r="I33">
            <v>1613</v>
          </cell>
          <cell r="J33">
            <v>1611</v>
          </cell>
          <cell r="K33">
            <v>1684</v>
          </cell>
          <cell r="L33">
            <v>1735</v>
          </cell>
          <cell r="M33">
            <v>1749</v>
          </cell>
          <cell r="N33">
            <v>1790</v>
          </cell>
          <cell r="O33">
            <v>1938</v>
          </cell>
        </row>
        <row r="34">
          <cell r="F34">
            <v>28</v>
          </cell>
          <cell r="G34" t="str">
            <v>Tompkins-Cortland</v>
          </cell>
          <cell r="H34">
            <v>3174</v>
          </cell>
          <cell r="I34">
            <v>3009</v>
          </cell>
          <cell r="J34">
            <v>3213</v>
          </cell>
          <cell r="K34">
            <v>3269</v>
          </cell>
          <cell r="L34">
            <v>3699</v>
          </cell>
          <cell r="M34">
            <v>5513</v>
          </cell>
          <cell r="N34">
            <v>3825</v>
          </cell>
          <cell r="O34">
            <v>4304</v>
          </cell>
        </row>
        <row r="35">
          <cell r="F35">
            <v>29</v>
          </cell>
          <cell r="G35" t="str">
            <v>Ulster</v>
          </cell>
          <cell r="H35">
            <v>3199</v>
          </cell>
          <cell r="I35">
            <v>3294</v>
          </cell>
          <cell r="J35">
            <v>3298</v>
          </cell>
          <cell r="K35">
            <v>3107</v>
          </cell>
          <cell r="L35">
            <v>3546</v>
          </cell>
          <cell r="M35">
            <v>3686</v>
          </cell>
          <cell r="N35">
            <v>3598</v>
          </cell>
          <cell r="O35">
            <v>3459</v>
          </cell>
        </row>
        <row r="36">
          <cell r="F36">
            <v>30</v>
          </cell>
          <cell r="G36" t="str">
            <v>Westchester</v>
          </cell>
          <cell r="H36">
            <v>11564</v>
          </cell>
          <cell r="I36">
            <v>11579</v>
          </cell>
          <cell r="J36">
            <v>12073</v>
          </cell>
          <cell r="K36">
            <v>12613</v>
          </cell>
          <cell r="L36">
            <v>14147</v>
          </cell>
          <cell r="M36">
            <v>13893</v>
          </cell>
          <cell r="N36">
            <v>13795</v>
          </cell>
          <cell r="O36">
            <v>14355</v>
          </cell>
        </row>
        <row r="38">
          <cell r="F38">
            <v>0</v>
          </cell>
          <cell r="G38" t="str">
            <v>Community Colleges</v>
          </cell>
          <cell r="H38">
            <v>0.57825502711522769</v>
          </cell>
          <cell r="I38">
            <v>0.57896096317307555</v>
          </cell>
          <cell r="J38">
            <v>0.58600656613536695</v>
          </cell>
          <cell r="K38">
            <v>0.58936175026584314</v>
          </cell>
          <cell r="L38">
            <v>0.60844340411302456</v>
          </cell>
          <cell r="M38">
            <v>0.60268220592186794</v>
          </cell>
        </row>
        <row r="39">
          <cell r="F39">
            <v>1</v>
          </cell>
          <cell r="G39" t="str">
            <v>Adirondack</v>
          </cell>
          <cell r="H39">
            <v>0.57686802175780127</v>
          </cell>
          <cell r="I39">
            <v>0.58018867924528306</v>
          </cell>
          <cell r="J39">
            <v>0.59771126760563376</v>
          </cell>
          <cell r="K39">
            <v>0.59457118105688711</v>
          </cell>
          <cell r="L39">
            <v>0.59876065065840434</v>
          </cell>
          <cell r="M39">
            <v>0.58583172147001938</v>
          </cell>
        </row>
        <row r="40">
          <cell r="F40">
            <v>2</v>
          </cell>
          <cell r="G40" t="str">
            <v>Broome</v>
          </cell>
          <cell r="H40">
            <v>0.63386837881219904</v>
          </cell>
          <cell r="I40">
            <v>0.63562559694364851</v>
          </cell>
          <cell r="J40">
            <v>0.64745349191826773</v>
          </cell>
          <cell r="K40">
            <v>0.63909433962264151</v>
          </cell>
          <cell r="L40">
            <v>0.67689399447433474</v>
          </cell>
          <cell r="M40">
            <v>0.73806054719119318</v>
          </cell>
        </row>
        <row r="41">
          <cell r="F41">
            <v>3</v>
          </cell>
          <cell r="G41" t="str">
            <v>Cayuga</v>
          </cell>
          <cell r="H41">
            <v>0.5503775058578495</v>
          </cell>
          <cell r="I41">
            <v>0.53683122253812354</v>
          </cell>
          <cell r="J41">
            <v>0.51308641975308644</v>
          </cell>
          <cell r="K41">
            <v>0.51461538461538459</v>
          </cell>
          <cell r="L41">
            <v>0.51688203418090872</v>
          </cell>
          <cell r="M41">
            <v>0.55626191989828355</v>
          </cell>
        </row>
        <row r="42">
          <cell r="F42">
            <v>4</v>
          </cell>
          <cell r="G42" t="str">
            <v>Clinton</v>
          </cell>
          <cell r="H42">
            <v>0.55497609734897868</v>
          </cell>
          <cell r="I42">
            <v>0.55852534562211986</v>
          </cell>
          <cell r="J42">
            <v>0.55377358490566042</v>
          </cell>
          <cell r="K42">
            <v>0.56990807934204157</v>
          </cell>
          <cell r="L42">
            <v>0.59394479073909168</v>
          </cell>
          <cell r="M42">
            <v>0.5999149659863946</v>
          </cell>
        </row>
        <row r="43">
          <cell r="F43">
            <v>5</v>
          </cell>
          <cell r="G43" t="str">
            <v>Columbia-Greene</v>
          </cell>
          <cell r="H43">
            <v>0.55555555555555558</v>
          </cell>
          <cell r="I43">
            <v>0.56553672316384185</v>
          </cell>
          <cell r="J43">
            <v>0.54470652770159078</v>
          </cell>
          <cell r="K43">
            <v>0.54214246873300709</v>
          </cell>
          <cell r="L43">
            <v>0.56103515625</v>
          </cell>
          <cell r="M43">
            <v>0.54652880354505173</v>
          </cell>
        </row>
        <row r="44">
          <cell r="F44">
            <v>6</v>
          </cell>
          <cell r="G44" t="str">
            <v>Corning</v>
          </cell>
          <cell r="H44">
            <v>0.49698568198944987</v>
          </cell>
          <cell r="I44">
            <v>0.48582995951417002</v>
          </cell>
          <cell r="J44">
            <v>0.46234227129337541</v>
          </cell>
          <cell r="K44">
            <v>0.45067437379576109</v>
          </cell>
          <cell r="L44">
            <v>0.43698770491803279</v>
          </cell>
          <cell r="M44">
            <v>0.50203930292918053</v>
          </cell>
        </row>
        <row r="45">
          <cell r="F45">
            <v>7</v>
          </cell>
          <cell r="G45" t="str">
            <v>Dutchess</v>
          </cell>
          <cell r="H45">
            <v>0.5099750623441397</v>
          </cell>
          <cell r="I45">
            <v>0.51097376387487381</v>
          </cell>
          <cell r="J45">
            <v>0.50994180407371481</v>
          </cell>
          <cell r="K45">
            <v>0.52305339920018823</v>
          </cell>
          <cell r="L45">
            <v>0.53690318639926704</v>
          </cell>
          <cell r="M45">
            <v>0.52754380869396844</v>
          </cell>
        </row>
        <row r="46">
          <cell r="F46">
            <v>8</v>
          </cell>
          <cell r="G46" t="str">
            <v>Erie</v>
          </cell>
          <cell r="H46">
            <v>0.67061704985383586</v>
          </cell>
          <cell r="I46">
            <v>0.65662465416538585</v>
          </cell>
          <cell r="J46">
            <v>0.66628361296253735</v>
          </cell>
          <cell r="K46">
            <v>0.67350215281325254</v>
          </cell>
          <cell r="L46">
            <v>0.67118666936517579</v>
          </cell>
          <cell r="M46">
            <v>0.68264386104481567</v>
          </cell>
        </row>
        <row r="47">
          <cell r="F47">
            <v>9</v>
          </cell>
          <cell r="G47" t="str">
            <v>Fashion Institute</v>
          </cell>
          <cell r="H47">
            <v>0.65205664194200941</v>
          </cell>
          <cell r="I47">
            <v>0.66913086913086917</v>
          </cell>
          <cell r="J47">
            <v>0.69128597303280337</v>
          </cell>
          <cell r="K47">
            <v>0.70094386487829108</v>
          </cell>
          <cell r="L47">
            <v>0.70008643042350904</v>
          </cell>
          <cell r="M47">
            <v>0.70585403427691118</v>
          </cell>
        </row>
        <row r="48">
          <cell r="F48">
            <v>10</v>
          </cell>
          <cell r="G48" t="str">
            <v>Finger Lakes</v>
          </cell>
          <cell r="H48">
            <v>0.52932790224032589</v>
          </cell>
          <cell r="I48">
            <v>0.51398058252427181</v>
          </cell>
          <cell r="J48">
            <v>0.53298448888058303</v>
          </cell>
          <cell r="K48">
            <v>0.5427826086956522</v>
          </cell>
          <cell r="L48">
            <v>0.55978504254366324</v>
          </cell>
          <cell r="M48">
            <v>0.56250901225666905</v>
          </cell>
        </row>
        <row r="49">
          <cell r="F49">
            <v>11</v>
          </cell>
          <cell r="G49" t="str">
            <v>Fulton-Montgomery</v>
          </cell>
          <cell r="H49">
            <v>0.63549704947798458</v>
          </cell>
          <cell r="I49">
            <v>0.6518312471024571</v>
          </cell>
          <cell r="J49">
            <v>0.65011185682326622</v>
          </cell>
          <cell r="K49">
            <v>0.64132231404958673</v>
          </cell>
          <cell r="L49">
            <v>0.6530014641288433</v>
          </cell>
          <cell r="M49">
            <v>0.65760677726791383</v>
          </cell>
        </row>
        <row r="50">
          <cell r="F50">
            <v>12</v>
          </cell>
          <cell r="G50" t="str">
            <v>Genesee</v>
          </cell>
          <cell r="H50">
            <v>0.47966101694915253</v>
          </cell>
          <cell r="I50">
            <v>0.4667076733815162</v>
          </cell>
          <cell r="J50">
            <v>0.46384425216316438</v>
          </cell>
          <cell r="K50">
            <v>0.46822541966426856</v>
          </cell>
          <cell r="L50">
            <v>0.47891231964483905</v>
          </cell>
          <cell r="M50">
            <v>0.49318728292813252</v>
          </cell>
        </row>
        <row r="51">
          <cell r="F51">
            <v>13</v>
          </cell>
          <cell r="G51" t="str">
            <v>Herkimer</v>
          </cell>
          <cell r="H51">
            <v>0.64018033248802475</v>
          </cell>
          <cell r="I51">
            <v>0.65086463923673221</v>
          </cell>
          <cell r="J51">
            <v>0.63942307692307687</v>
          </cell>
          <cell r="K51">
            <v>0.65805902383654935</v>
          </cell>
          <cell r="L51">
            <v>0.62908455974058364</v>
          </cell>
          <cell r="M51">
            <v>0.68415474297827239</v>
          </cell>
        </row>
        <row r="52">
          <cell r="F52">
            <v>14</v>
          </cell>
          <cell r="G52" t="str">
            <v>Hudson Valley</v>
          </cell>
          <cell r="H52">
            <v>0.55365230997282389</v>
          </cell>
          <cell r="I52">
            <v>0.55538821954484607</v>
          </cell>
          <cell r="J52">
            <v>0.56872153545868576</v>
          </cell>
          <cell r="K52">
            <v>0.56982799431907838</v>
          </cell>
          <cell r="L52">
            <v>0.59519519519519515</v>
          </cell>
          <cell r="M52">
            <v>0.58407015509494131</v>
          </cell>
        </row>
        <row r="53">
          <cell r="F53">
            <v>15</v>
          </cell>
          <cell r="G53" t="str">
            <v>Jamestown</v>
          </cell>
          <cell r="H53">
            <v>0.67158067158067158</v>
          </cell>
          <cell r="I53">
            <v>0.66019940716787928</v>
          </cell>
          <cell r="J53">
            <v>0.68580779529901814</v>
          </cell>
          <cell r="K53">
            <v>0.66351095482823907</v>
          </cell>
          <cell r="L53">
            <v>0.6998011928429424</v>
          </cell>
          <cell r="M53">
            <v>0.54617414248021112</v>
          </cell>
        </row>
        <row r="54">
          <cell r="F54">
            <v>16</v>
          </cell>
          <cell r="G54" t="str">
            <v>Jefferson</v>
          </cell>
          <cell r="H54">
            <v>0.50794979079497904</v>
          </cell>
          <cell r="I54">
            <v>0.54329738058551613</v>
          </cell>
          <cell r="J54">
            <v>0.55405828893763709</v>
          </cell>
          <cell r="K54">
            <v>0.55150753768844218</v>
          </cell>
          <cell r="L54">
            <v>0.61074230537115271</v>
          </cell>
          <cell r="M54">
            <v>0.5914927768860353</v>
          </cell>
        </row>
        <row r="55">
          <cell r="F55">
            <v>17</v>
          </cell>
          <cell r="G55" t="str">
            <v>Mohawk Valley</v>
          </cell>
          <cell r="H55">
            <v>0.63151737967914434</v>
          </cell>
          <cell r="I55">
            <v>0.63106960950764002</v>
          </cell>
          <cell r="J55">
            <v>0.62309728656518859</v>
          </cell>
          <cell r="K55">
            <v>0.62742561448900391</v>
          </cell>
          <cell r="L55">
            <v>0.66041697915104247</v>
          </cell>
          <cell r="M55">
            <v>0.6654088050314465</v>
          </cell>
        </row>
        <row r="56">
          <cell r="F56">
            <v>18</v>
          </cell>
          <cell r="G56" t="str">
            <v>Monroe</v>
          </cell>
          <cell r="H56">
            <v>0.59055163640568986</v>
          </cell>
          <cell r="I56">
            <v>0.58632378725891288</v>
          </cell>
          <cell r="J56">
            <v>0.59672806315066929</v>
          </cell>
          <cell r="K56">
            <v>0.6104670420669096</v>
          </cell>
          <cell r="L56">
            <v>0.64077567581809558</v>
          </cell>
          <cell r="M56">
            <v>0.63974730192155826</v>
          </cell>
        </row>
        <row r="57">
          <cell r="F57">
            <v>19</v>
          </cell>
          <cell r="G57" t="str">
            <v>Nassau</v>
          </cell>
          <cell r="H57">
            <v>0.64483531150197815</v>
          </cell>
          <cell r="I57">
            <v>0.65325733666211316</v>
          </cell>
          <cell r="J57">
            <v>0.67239212400502724</v>
          </cell>
          <cell r="K57">
            <v>0.67367165274846286</v>
          </cell>
          <cell r="L57">
            <v>0.67599806329503942</v>
          </cell>
          <cell r="M57">
            <v>0.68157529347414481</v>
          </cell>
        </row>
        <row r="58">
          <cell r="F58">
            <v>20</v>
          </cell>
          <cell r="G58" t="str">
            <v>Niagara</v>
          </cell>
          <cell r="H58">
            <v>0.66500645637336286</v>
          </cell>
          <cell r="I58">
            <v>0.60080917060013483</v>
          </cell>
          <cell r="J58">
            <v>0.57115779497709684</v>
          </cell>
          <cell r="K58">
            <v>0.59112044397780106</v>
          </cell>
          <cell r="L58">
            <v>0.63841186976233</v>
          </cell>
          <cell r="M58">
            <v>0.63408723747980611</v>
          </cell>
        </row>
        <row r="59">
          <cell r="F59">
            <v>21</v>
          </cell>
          <cell r="G59" t="str">
            <v>North Country</v>
          </cell>
          <cell r="H59">
            <v>0.6224299065420561</v>
          </cell>
          <cell r="I59">
            <v>0.59474327628361856</v>
          </cell>
          <cell r="J59">
            <v>0.54859114433582523</v>
          </cell>
          <cell r="K59">
            <v>0.49007633587786259</v>
          </cell>
          <cell r="L59">
            <v>0.50864422202001824</v>
          </cell>
          <cell r="M59">
            <v>0.48483496877787691</v>
          </cell>
        </row>
        <row r="60">
          <cell r="F60">
            <v>22</v>
          </cell>
          <cell r="G60" t="str">
            <v>Onondaga</v>
          </cell>
          <cell r="H60">
            <v>0.56420186372988024</v>
          </cell>
          <cell r="I60">
            <v>0.55509421909932932</v>
          </cell>
          <cell r="J60">
            <v>0.53060073328946133</v>
          </cell>
          <cell r="K60">
            <v>0.56105302464525764</v>
          </cell>
          <cell r="L60">
            <v>0.55374646951320816</v>
          </cell>
          <cell r="M60">
            <v>0.58498090793381419</v>
          </cell>
        </row>
        <row r="61">
          <cell r="F61">
            <v>23</v>
          </cell>
          <cell r="G61" t="str">
            <v>Orange</v>
          </cell>
          <cell r="H61">
            <v>0.5191740412979351</v>
          </cell>
          <cell r="I61">
            <v>0.50896826613521384</v>
          </cell>
          <cell r="J61">
            <v>0.52287185701302641</v>
          </cell>
          <cell r="K61">
            <v>0.54014490610675736</v>
          </cell>
          <cell r="L61">
            <v>0.55366492146596857</v>
          </cell>
          <cell r="M61">
            <v>0.54641947353523912</v>
          </cell>
        </row>
        <row r="62">
          <cell r="F62">
            <v>24</v>
          </cell>
          <cell r="G62" t="str">
            <v>Rockland</v>
          </cell>
          <cell r="H62">
            <v>0.58166007905138339</v>
          </cell>
          <cell r="I62">
            <v>0.60800518554529248</v>
          </cell>
          <cell r="J62">
            <v>0.59972944536299411</v>
          </cell>
          <cell r="K62">
            <v>0.61757549735222561</v>
          </cell>
          <cell r="L62">
            <v>0.64341617465330225</v>
          </cell>
          <cell r="M62">
            <v>0.62869877429738763</v>
          </cell>
        </row>
        <row r="63">
          <cell r="F63">
            <v>25</v>
          </cell>
          <cell r="G63" t="str">
            <v>Schenectady</v>
          </cell>
          <cell r="H63">
            <v>0.44269190325972663</v>
          </cell>
          <cell r="I63">
            <v>0.46950804806166402</v>
          </cell>
          <cell r="J63">
            <v>0.47973437142202885</v>
          </cell>
          <cell r="K63">
            <v>0.45966577264287189</v>
          </cell>
          <cell r="L63">
            <v>0.49316124060874589</v>
          </cell>
          <cell r="M63">
            <v>0.43102104442712391</v>
          </cell>
        </row>
        <row r="64">
          <cell r="F64">
            <v>26</v>
          </cell>
          <cell r="G64" t="str">
            <v>Suffolk</v>
          </cell>
          <cell r="H64">
            <v>0.55552407932011327</v>
          </cell>
          <cell r="I64">
            <v>0.56182807996706163</v>
          </cell>
          <cell r="J64">
            <v>0.58084374434184316</v>
          </cell>
          <cell r="K64">
            <v>0.55001303554358216</v>
          </cell>
          <cell r="L64">
            <v>0.6178793006204174</v>
          </cell>
          <cell r="M64">
            <v>0.59826340806167899</v>
          </cell>
        </row>
        <row r="65">
          <cell r="F65">
            <v>27</v>
          </cell>
          <cell r="G65" t="str">
            <v>Sullivan</v>
          </cell>
          <cell r="H65">
            <v>0.63361045130641325</v>
          </cell>
          <cell r="I65">
            <v>0.63918164910105391</v>
          </cell>
          <cell r="J65">
            <v>0.60024829298572313</v>
          </cell>
          <cell r="K65">
            <v>0.62707838479809974</v>
          </cell>
          <cell r="L65">
            <v>0.64149855907780984</v>
          </cell>
          <cell r="M65">
            <v>0.64436821040594627</v>
          </cell>
        </row>
        <row r="66">
          <cell r="F66">
            <v>28</v>
          </cell>
          <cell r="G66" t="str">
            <v>Tompkins-Cortland</v>
          </cell>
          <cell r="H66">
            <v>0.67611846250787655</v>
          </cell>
          <cell r="I66">
            <v>0.69956796277833166</v>
          </cell>
          <cell r="J66">
            <v>0.74821039526921884</v>
          </cell>
          <cell r="K66">
            <v>0.76078311410217192</v>
          </cell>
          <cell r="L66">
            <v>0.77696674776966745</v>
          </cell>
          <cell r="M66">
            <v>0.54144748775621254</v>
          </cell>
        </row>
        <row r="67">
          <cell r="F67">
            <v>29</v>
          </cell>
          <cell r="G67" t="str">
            <v>Ulster</v>
          </cell>
          <cell r="H67">
            <v>0.45232885276648954</v>
          </cell>
          <cell r="I67">
            <v>0.44383727990285365</v>
          </cell>
          <cell r="J67">
            <v>0.46452395391146151</v>
          </cell>
          <cell r="K67">
            <v>0.52236884454457677</v>
          </cell>
          <cell r="L67">
            <v>0.49661590524534688</v>
          </cell>
          <cell r="M67">
            <v>0.48941942485078677</v>
          </cell>
        </row>
        <row r="68">
          <cell r="F68">
            <v>30</v>
          </cell>
          <cell r="G68" t="str">
            <v>Westchester</v>
          </cell>
          <cell r="H68">
            <v>0.4724143894846074</v>
          </cell>
          <cell r="I68">
            <v>0.481734173935573</v>
          </cell>
          <cell r="J68">
            <v>0.51395676302493165</v>
          </cell>
          <cell r="K68">
            <v>0.52326964243241103</v>
          </cell>
          <cell r="L68">
            <v>0.5505760938714922</v>
          </cell>
          <cell r="M68">
            <v>0.54293529115381844</v>
          </cell>
        </row>
        <row r="70">
          <cell r="F70">
            <v>0</v>
          </cell>
          <cell r="G70" t="str">
            <v>Community Colleges</v>
          </cell>
          <cell r="H70">
            <v>0.62796291791670045</v>
          </cell>
          <cell r="I70">
            <v>0.62190195436182993</v>
          </cell>
          <cell r="J70">
            <v>0.62140591966173364</v>
          </cell>
          <cell r="K70">
            <v>0.61659410374424684</v>
          </cell>
          <cell r="L70">
            <v>0.63895973874281897</v>
          </cell>
          <cell r="M70">
            <v>0.61702406715194436</v>
          </cell>
        </row>
        <row r="71">
          <cell r="F71">
            <v>1</v>
          </cell>
          <cell r="G71" t="str">
            <v>Adirondack</v>
          </cell>
          <cell r="H71">
            <v>0.59577677224736048</v>
          </cell>
          <cell r="I71">
            <v>0.58200290275761979</v>
          </cell>
          <cell r="J71">
            <v>0.55082417582417587</v>
          </cell>
          <cell r="K71">
            <v>0.5714285714285714</v>
          </cell>
          <cell r="L71">
            <v>0.61710526315789471</v>
          </cell>
          <cell r="M71">
            <v>0.57739557739557734</v>
          </cell>
        </row>
        <row r="72">
          <cell r="F72">
            <v>2</v>
          </cell>
          <cell r="G72" t="str">
            <v>Broome</v>
          </cell>
          <cell r="H72">
            <v>0.6084615384615385</v>
          </cell>
          <cell r="I72">
            <v>0.63550667714061271</v>
          </cell>
          <cell r="J72">
            <v>0.68093385214007784</v>
          </cell>
          <cell r="K72">
            <v>0.62321024868123587</v>
          </cell>
          <cell r="L72">
            <v>0.64109121909633415</v>
          </cell>
          <cell r="M72">
            <v>0.6077428780131483</v>
          </cell>
        </row>
        <row r="73">
          <cell r="F73">
            <v>3</v>
          </cell>
          <cell r="G73" t="str">
            <v>Cayuga</v>
          </cell>
          <cell r="H73">
            <v>0.60441426146010191</v>
          </cell>
          <cell r="I73">
            <v>0.58823529411764708</v>
          </cell>
          <cell r="J73">
            <v>0.57925636007827785</v>
          </cell>
          <cell r="K73">
            <v>0.57676348547717837</v>
          </cell>
          <cell r="L73">
            <v>0.63233190271816886</v>
          </cell>
          <cell r="M73">
            <v>0.59731543624161076</v>
          </cell>
        </row>
        <row r="74">
          <cell r="F74">
            <v>4</v>
          </cell>
          <cell r="G74" t="str">
            <v>Clinton</v>
          </cell>
          <cell r="H74">
            <v>0.50639386189258317</v>
          </cell>
          <cell r="I74">
            <v>0.546875</v>
          </cell>
          <cell r="J74">
            <v>0.55675675675675673</v>
          </cell>
          <cell r="K74">
            <v>0.5348189415041783</v>
          </cell>
          <cell r="L74">
            <v>0.54177215189873418</v>
          </cell>
          <cell r="M74">
            <v>0.52154195011337867</v>
          </cell>
        </row>
        <row r="75">
          <cell r="F75">
            <v>5</v>
          </cell>
          <cell r="G75" t="str">
            <v>Columbia-Greene</v>
          </cell>
          <cell r="H75">
            <v>0.61538461538461542</v>
          </cell>
          <cell r="I75">
            <v>0.66296296296296298</v>
          </cell>
          <cell r="J75">
            <v>0.6654411764705882</v>
          </cell>
          <cell r="K75">
            <v>0.57347670250896055</v>
          </cell>
          <cell r="L75">
            <v>0.6970802919708029</v>
          </cell>
          <cell r="M75">
            <v>0.60769230769230764</v>
          </cell>
        </row>
        <row r="76">
          <cell r="F76">
            <v>6</v>
          </cell>
          <cell r="G76" t="str">
            <v>Corning</v>
          </cell>
          <cell r="H76">
            <v>0.61743341404358354</v>
          </cell>
          <cell r="I76">
            <v>0.54972067039106143</v>
          </cell>
          <cell r="J76">
            <v>0.58557284299858559</v>
          </cell>
          <cell r="K76">
            <v>0.59221076746849943</v>
          </cell>
          <cell r="L76">
            <v>0.58866995073891626</v>
          </cell>
          <cell r="M76">
            <v>0.58236658932714613</v>
          </cell>
        </row>
        <row r="77">
          <cell r="F77">
            <v>7</v>
          </cell>
          <cell r="G77" t="str">
            <v>Dutchess</v>
          </cell>
          <cell r="H77">
            <v>0.6658270361041142</v>
          </cell>
          <cell r="I77">
            <v>0.6392092257001647</v>
          </cell>
          <cell r="J77">
            <v>0.65671641791044777</v>
          </cell>
          <cell r="K77">
            <v>0.63539587491683303</v>
          </cell>
          <cell r="L77">
            <v>0.6785714285714286</v>
          </cell>
          <cell r="M77">
            <v>0.64129883307965496</v>
          </cell>
        </row>
        <row r="78">
          <cell r="F78">
            <v>8</v>
          </cell>
          <cell r="G78" t="str">
            <v>Erie</v>
          </cell>
          <cell r="H78">
            <v>0.62840385421030587</v>
          </cell>
          <cell r="I78">
            <v>0.59436008676789587</v>
          </cell>
          <cell r="J78">
            <v>0.61285075233834896</v>
          </cell>
          <cell r="K78">
            <v>0.60504201680672265</v>
          </cell>
          <cell r="L78">
            <v>0.61025833021340326</v>
          </cell>
          <cell r="M78">
            <v>0.59276844411979546</v>
          </cell>
        </row>
        <row r="79">
          <cell r="F79">
            <v>9</v>
          </cell>
          <cell r="G79" t="str">
            <v>Fashion Institute</v>
          </cell>
          <cell r="H79">
            <v>0.84818805093046035</v>
          </cell>
          <cell r="I79">
            <v>0.84099999999999997</v>
          </cell>
          <cell r="J79">
            <v>0.85775862068965514</v>
          </cell>
          <cell r="K79">
            <v>0.84529356943150047</v>
          </cell>
          <cell r="L79">
            <v>0.85688405797101452</v>
          </cell>
          <cell r="M79">
            <v>0.87203791469194314</v>
          </cell>
        </row>
        <row r="80">
          <cell r="F80">
            <v>10</v>
          </cell>
          <cell r="G80" t="str">
            <v>Finger Lakes</v>
          </cell>
          <cell r="H80">
            <v>0.57377049180327866</v>
          </cell>
          <cell r="I80">
            <v>0.56478405315614622</v>
          </cell>
          <cell r="J80">
            <v>0.56585365853658531</v>
          </cell>
          <cell r="K80">
            <v>0.5476588628762542</v>
          </cell>
          <cell r="L80">
            <v>0.59625876851130166</v>
          </cell>
          <cell r="M80">
            <v>0.55336721728081317</v>
          </cell>
        </row>
        <row r="81">
          <cell r="F81">
            <v>11</v>
          </cell>
          <cell r="G81" t="str">
            <v>Fulton-Montgomery</v>
          </cell>
          <cell r="H81">
            <v>0.52658227848101269</v>
          </cell>
          <cell r="I81">
            <v>0.5752212389380531</v>
          </cell>
          <cell r="J81">
            <v>0.55451127819548873</v>
          </cell>
          <cell r="K81">
            <v>0.56761904761904758</v>
          </cell>
          <cell r="L81">
            <v>0.53749999999999998</v>
          </cell>
          <cell r="M81">
            <v>0.56030534351145034</v>
          </cell>
        </row>
        <row r="82">
          <cell r="F82">
            <v>12</v>
          </cell>
          <cell r="G82" t="str">
            <v>Genesee</v>
          </cell>
          <cell r="H82">
            <v>0.60315789473684212</v>
          </cell>
          <cell r="I82">
            <v>0.57111834961997832</v>
          </cell>
          <cell r="J82">
            <v>0.57718120805369133</v>
          </cell>
          <cell r="K82">
            <v>0.59214830970556165</v>
          </cell>
          <cell r="L82">
            <v>0.55384615384615388</v>
          </cell>
          <cell r="M82">
            <v>0.56404736275565126</v>
          </cell>
        </row>
        <row r="83">
          <cell r="F83">
            <v>13</v>
          </cell>
          <cell r="G83" t="str">
            <v>Herkimer</v>
          </cell>
          <cell r="H83">
            <v>0.64821648216482164</v>
          </cell>
          <cell r="I83">
            <v>0.61504424778761058</v>
          </cell>
          <cell r="J83">
            <v>0.57614213197969544</v>
          </cell>
          <cell r="K83">
            <v>0.59833134684147793</v>
          </cell>
          <cell r="L83">
            <v>0.58602150537634412</v>
          </cell>
          <cell r="M83">
            <v>0.53470185728250241</v>
          </cell>
        </row>
        <row r="84">
          <cell r="F84">
            <v>14</v>
          </cell>
          <cell r="G84" t="str">
            <v>Hudson Valley</v>
          </cell>
          <cell r="H84">
            <v>0.58966202783300203</v>
          </cell>
          <cell r="I84">
            <v>0.58228397742075555</v>
          </cell>
          <cell r="J84">
            <v>0.57628559286017844</v>
          </cell>
          <cell r="K84">
            <v>0.55431861804222649</v>
          </cell>
          <cell r="L84">
            <v>0.57948913457872664</v>
          </cell>
          <cell r="M84">
            <v>0.54685816876122084</v>
          </cell>
        </row>
        <row r="85">
          <cell r="F85">
            <v>15</v>
          </cell>
          <cell r="G85" t="str">
            <v>Jamestown</v>
          </cell>
          <cell r="H85">
            <v>0.6169724770642202</v>
          </cell>
          <cell r="I85">
            <v>0.60854893138357702</v>
          </cell>
          <cell r="J85">
            <v>0.60092272202998842</v>
          </cell>
          <cell r="K85">
            <v>0.64930114358322744</v>
          </cell>
          <cell r="L85">
            <v>0.62356621480709074</v>
          </cell>
          <cell r="M85">
            <v>0.62329390354868064</v>
          </cell>
        </row>
        <row r="86">
          <cell r="F86">
            <v>16</v>
          </cell>
          <cell r="G86" t="str">
            <v>Jefferson</v>
          </cell>
          <cell r="H86">
            <v>0.54870129870129869</v>
          </cell>
          <cell r="I86">
            <v>0.54879999999999995</v>
          </cell>
          <cell r="J86">
            <v>0.54639175257731953</v>
          </cell>
          <cell r="K86">
            <v>0.52032520325203258</v>
          </cell>
          <cell r="L86">
            <v>0.58280254777070062</v>
          </cell>
          <cell r="M86">
            <v>0.54557640750670244</v>
          </cell>
        </row>
        <row r="87">
          <cell r="F87">
            <v>17</v>
          </cell>
          <cell r="G87" t="str">
            <v>Mohawk Valley</v>
          </cell>
          <cell r="H87">
            <v>0.58569299552906107</v>
          </cell>
          <cell r="I87">
            <v>0.58486238532110091</v>
          </cell>
          <cell r="J87">
            <v>0.58407079646017701</v>
          </cell>
          <cell r="K87">
            <v>0.60075471698113203</v>
          </cell>
          <cell r="L87">
            <v>0.59696092619392183</v>
          </cell>
          <cell r="M87">
            <v>0.607095046854083</v>
          </cell>
        </row>
        <row r="88">
          <cell r="F88">
            <v>18</v>
          </cell>
          <cell r="G88" t="str">
            <v>Monroe</v>
          </cell>
          <cell r="H88">
            <v>0.65955024195844003</v>
          </cell>
          <cell r="I88">
            <v>0.65163060042669918</v>
          </cell>
          <cell r="J88">
            <v>0.63794117647058823</v>
          </cell>
          <cell r="K88">
            <v>0.61826063397453268</v>
          </cell>
          <cell r="L88">
            <v>0.64093357271095153</v>
          </cell>
          <cell r="M88">
            <v>0.62438057482656095</v>
          </cell>
        </row>
        <row r="89">
          <cell r="F89">
            <v>19</v>
          </cell>
          <cell r="G89" t="str">
            <v>Nassau</v>
          </cell>
          <cell r="H89">
            <v>0.67965271593944787</v>
          </cell>
          <cell r="I89">
            <v>0.67516503528340543</v>
          </cell>
          <cell r="J89">
            <v>0.68041666666666667</v>
          </cell>
          <cell r="K89">
            <v>0.65946946329426281</v>
          </cell>
          <cell r="L89">
            <v>0.71172100701609575</v>
          </cell>
          <cell r="M89">
            <v>0.71303043291898838</v>
          </cell>
        </row>
        <row r="90">
          <cell r="F90">
            <v>20</v>
          </cell>
          <cell r="G90" t="str">
            <v>Niagara</v>
          </cell>
          <cell r="H90">
            <v>0.62511457378551782</v>
          </cell>
          <cell r="I90">
            <v>0.63636363636363635</v>
          </cell>
          <cell r="J90">
            <v>0.66033755274261607</v>
          </cell>
          <cell r="K90">
            <v>0.65517241379310343</v>
          </cell>
          <cell r="L90">
            <v>0.66402535657686212</v>
          </cell>
          <cell r="M90">
            <v>0.63900666262870987</v>
          </cell>
        </row>
        <row r="91">
          <cell r="F91">
            <v>21</v>
          </cell>
          <cell r="G91" t="str">
            <v>North Country</v>
          </cell>
          <cell r="H91">
            <v>0.53481012658227844</v>
          </cell>
          <cell r="I91">
            <v>0.50803858520900325</v>
          </cell>
          <cell r="J91">
            <v>0.5476923076923077</v>
          </cell>
          <cell r="K91">
            <v>0.51027397260273977</v>
          </cell>
          <cell r="L91">
            <v>0.49310344827586206</v>
          </cell>
          <cell r="M91">
            <v>0.42285714285714288</v>
          </cell>
        </row>
        <row r="92">
          <cell r="F92">
            <v>22</v>
          </cell>
          <cell r="G92" t="str">
            <v>Onondaga</v>
          </cell>
          <cell r="H92">
            <v>0.5978043912175649</v>
          </cell>
          <cell r="I92">
            <v>0.59411146161934802</v>
          </cell>
          <cell r="J92">
            <v>0.54530059271803555</v>
          </cell>
          <cell r="K92">
            <v>0.5684702738810955</v>
          </cell>
          <cell r="L92">
            <v>0.58650306748466252</v>
          </cell>
          <cell r="M92">
            <v>0.56641053787047202</v>
          </cell>
        </row>
        <row r="93">
          <cell r="F93">
            <v>23</v>
          </cell>
          <cell r="G93" t="str">
            <v>Orange</v>
          </cell>
          <cell r="H93">
            <v>0.60509031198686369</v>
          </cell>
          <cell r="I93">
            <v>0.60683760683760679</v>
          </cell>
          <cell r="J93">
            <v>0.58517887563884152</v>
          </cell>
          <cell r="K93">
            <v>0.63269961977186306</v>
          </cell>
          <cell r="L93">
            <v>0.59882005899705015</v>
          </cell>
          <cell r="M93">
            <v>0.6314535345512311</v>
          </cell>
        </row>
        <row r="94">
          <cell r="F94">
            <v>24</v>
          </cell>
          <cell r="G94" t="str">
            <v>Rockland</v>
          </cell>
          <cell r="H94">
            <v>0.64789991063449504</v>
          </cell>
          <cell r="I94">
            <v>0.66695501730103801</v>
          </cell>
          <cell r="J94">
            <v>0.66305329719963868</v>
          </cell>
          <cell r="K94">
            <v>0.69499602859412235</v>
          </cell>
          <cell r="L94">
            <v>0.7036747458952306</v>
          </cell>
          <cell r="M94">
            <v>0.72622699386503065</v>
          </cell>
        </row>
        <row r="95">
          <cell r="F95">
            <v>25</v>
          </cell>
          <cell r="G95" t="str">
            <v>Schenectady</v>
          </cell>
          <cell r="H95">
            <v>0.57212713936430315</v>
          </cell>
          <cell r="I95">
            <v>0.58392434988179664</v>
          </cell>
          <cell r="J95">
            <v>0.55205811138014527</v>
          </cell>
          <cell r="K95">
            <v>0.50337078651685396</v>
          </cell>
          <cell r="L95">
            <v>0.57839721254355403</v>
          </cell>
          <cell r="M95">
            <v>0.55937499999999996</v>
          </cell>
        </row>
        <row r="96">
          <cell r="F96">
            <v>26</v>
          </cell>
          <cell r="G96" t="str">
            <v>Suffolk</v>
          </cell>
          <cell r="H96">
            <v>0.64499314128943763</v>
          </cell>
          <cell r="I96">
            <v>0.65587778353184878</v>
          </cell>
          <cell r="J96">
            <v>0.64310260186548851</v>
          </cell>
          <cell r="K96">
            <v>0.6472371182093728</v>
          </cell>
          <cell r="L96">
            <v>0.69969547903490281</v>
          </cell>
          <cell r="M96">
            <v>0.647569803516029</v>
          </cell>
        </row>
        <row r="97">
          <cell r="F97">
            <v>27</v>
          </cell>
          <cell r="G97" t="str">
            <v>Sullivan</v>
          </cell>
          <cell r="H97">
            <v>0.47113163972286376</v>
          </cell>
          <cell r="I97">
            <v>0.46086956521739131</v>
          </cell>
          <cell r="J97">
            <v>0.40512820512820513</v>
          </cell>
          <cell r="K97">
            <v>0.48249999999999998</v>
          </cell>
          <cell r="L97">
            <v>0.4989106753812636</v>
          </cell>
          <cell r="M97">
            <v>0.37473684210526315</v>
          </cell>
        </row>
        <row r="98">
          <cell r="F98">
            <v>28</v>
          </cell>
          <cell r="G98" t="str">
            <v>Tompkins-Cortland</v>
          </cell>
          <cell r="H98">
            <v>0.53352353780313833</v>
          </cell>
          <cell r="I98">
            <v>0.54347826086956519</v>
          </cell>
          <cell r="J98">
            <v>0.5207439198855508</v>
          </cell>
          <cell r="K98">
            <v>0.54014598540145986</v>
          </cell>
          <cell r="L98">
            <v>0.56769055745164965</v>
          </cell>
          <cell r="M98">
            <v>0.5476653696498055</v>
          </cell>
        </row>
        <row r="99">
          <cell r="F99">
            <v>29</v>
          </cell>
          <cell r="G99" t="str">
            <v>Ulster</v>
          </cell>
          <cell r="H99">
            <v>0.6</v>
          </cell>
          <cell r="I99">
            <v>0.57967667436489612</v>
          </cell>
          <cell r="J99">
            <v>0.63571428571428568</v>
          </cell>
          <cell r="K99">
            <v>0.62264150943396224</v>
          </cell>
          <cell r="L99">
            <v>0.59055118110236215</v>
          </cell>
          <cell r="M99">
            <v>0.6024734982332155</v>
          </cell>
        </row>
        <row r="100">
          <cell r="F100">
            <v>30</v>
          </cell>
          <cell r="G100" t="str">
            <v>Westchester</v>
          </cell>
          <cell r="H100">
            <v>0.61974405850091407</v>
          </cell>
          <cell r="I100">
            <v>0.60201511335012592</v>
          </cell>
          <cell r="J100">
            <v>0.617008797653959</v>
          </cell>
          <cell r="K100">
            <v>0.60873882820258196</v>
          </cell>
          <cell r="L100">
            <v>0.63407258064516125</v>
          </cell>
          <cell r="M100">
            <v>0.61028119507908607</v>
          </cell>
        </row>
        <row r="102">
          <cell r="F102">
            <v>0</v>
          </cell>
          <cell r="G102" t="str">
            <v>Community Colleges</v>
          </cell>
          <cell r="H102">
            <v>0.70896002303594563</v>
          </cell>
          <cell r="I102">
            <v>0.70565247131192632</v>
          </cell>
          <cell r="J102">
            <v>0.70020408258573108</v>
          </cell>
          <cell r="K102">
            <v>0.70347292925179306</v>
          </cell>
          <cell r="L102">
            <v>0.70468567129242599</v>
          </cell>
          <cell r="M102">
            <v>0.70128375316326241</v>
          </cell>
        </row>
        <row r="103">
          <cell r="F103">
            <v>1</v>
          </cell>
          <cell r="G103" t="str">
            <v>Adirondack</v>
          </cell>
          <cell r="H103">
            <v>0.31806470083023192</v>
          </cell>
          <cell r="I103">
            <v>0.32491675915649276</v>
          </cell>
          <cell r="J103">
            <v>0.33978873239436619</v>
          </cell>
          <cell r="K103">
            <v>0.34565405717585906</v>
          </cell>
          <cell r="L103">
            <v>0.34391944229279631</v>
          </cell>
          <cell r="M103">
            <v>0.33268858800773693</v>
          </cell>
        </row>
        <row r="104">
          <cell r="F104">
            <v>2</v>
          </cell>
          <cell r="G104" t="str">
            <v>Broome</v>
          </cell>
          <cell r="H104">
            <v>0.70770465489566614</v>
          </cell>
          <cell r="I104">
            <v>0.71553645335880289</v>
          </cell>
          <cell r="J104">
            <v>0.69716376944190306</v>
          </cell>
          <cell r="K104">
            <v>0.69539622641509435</v>
          </cell>
          <cell r="L104">
            <v>0.70408608404827688</v>
          </cell>
          <cell r="M104">
            <v>0.71960498623927471</v>
          </cell>
        </row>
        <row r="105">
          <cell r="F105">
            <v>3</v>
          </cell>
          <cell r="G105" t="str">
            <v>Cayuga</v>
          </cell>
          <cell r="H105">
            <v>0.41968237438167144</v>
          </cell>
          <cell r="I105">
            <v>0.42905143447919358</v>
          </cell>
          <cell r="J105">
            <v>0.43333333333333335</v>
          </cell>
          <cell r="K105">
            <v>0.41538461538461541</v>
          </cell>
          <cell r="L105">
            <v>0.41558982909545644</v>
          </cell>
          <cell r="M105">
            <v>0.40453485908031361</v>
          </cell>
        </row>
        <row r="106">
          <cell r="F106">
            <v>4</v>
          </cell>
          <cell r="G106" t="str">
            <v>Clinton</v>
          </cell>
          <cell r="H106">
            <v>0.76749239461103869</v>
          </cell>
          <cell r="I106">
            <v>0.78663594470046083</v>
          </cell>
          <cell r="J106">
            <v>0.77405660377358487</v>
          </cell>
          <cell r="K106">
            <v>0.7474600870827286</v>
          </cell>
          <cell r="L106">
            <v>0.73864648263579702</v>
          </cell>
          <cell r="M106">
            <v>0.74149659863945583</v>
          </cell>
        </row>
        <row r="107">
          <cell r="F107">
            <v>5</v>
          </cell>
          <cell r="G107" t="str">
            <v>Columbia-Greene</v>
          </cell>
          <cell r="H107">
            <v>0.82928240740740744</v>
          </cell>
          <cell r="I107">
            <v>0.82485875706214684</v>
          </cell>
          <cell r="J107">
            <v>0.82611080636313772</v>
          </cell>
          <cell r="K107">
            <v>0.8145731375747689</v>
          </cell>
          <cell r="L107">
            <v>0.82421875</v>
          </cell>
          <cell r="M107">
            <v>0.81585425898572128</v>
          </cell>
        </row>
        <row r="108">
          <cell r="F108">
            <v>6</v>
          </cell>
          <cell r="G108" t="str">
            <v>Corning</v>
          </cell>
          <cell r="H108">
            <v>0.84457422758100975</v>
          </cell>
          <cell r="I108">
            <v>0.84444917962923505</v>
          </cell>
          <cell r="J108">
            <v>0.82078075709779175</v>
          </cell>
          <cell r="K108">
            <v>0.83217726396917147</v>
          </cell>
          <cell r="L108">
            <v>0.8425546448087432</v>
          </cell>
          <cell r="M108">
            <v>0.85558027437893958</v>
          </cell>
        </row>
        <row r="109">
          <cell r="F109">
            <v>7</v>
          </cell>
          <cell r="G109" t="str">
            <v>Dutchess</v>
          </cell>
          <cell r="H109">
            <v>0.79775561097256853</v>
          </cell>
          <cell r="I109">
            <v>0.80247225025227042</v>
          </cell>
          <cell r="J109">
            <v>0.78734238603297768</v>
          </cell>
          <cell r="K109">
            <v>0.79498941425546932</v>
          </cell>
          <cell r="L109">
            <v>0.79059350503919368</v>
          </cell>
          <cell r="M109">
            <v>0.77674508664924002</v>
          </cell>
        </row>
        <row r="110">
          <cell r="F110">
            <v>8</v>
          </cell>
          <cell r="G110" t="str">
            <v>Erie</v>
          </cell>
          <cell r="H110">
            <v>0.91893813699928895</v>
          </cell>
          <cell r="I110">
            <v>0.91653857977251763</v>
          </cell>
          <cell r="J110">
            <v>0.909446104343829</v>
          </cell>
          <cell r="K110">
            <v>0.91257388892943148</v>
          </cell>
          <cell r="L110">
            <v>0.90946502057613166</v>
          </cell>
          <cell r="M110">
            <v>0.90698753646247676</v>
          </cell>
        </row>
        <row r="111">
          <cell r="F111">
            <v>9</v>
          </cell>
          <cell r="G111" t="str">
            <v>Fashion Institute</v>
          </cell>
          <cell r="H111">
            <v>0.4802042192467007</v>
          </cell>
          <cell r="I111">
            <v>0.44685314685314687</v>
          </cell>
          <cell r="J111">
            <v>0.42543771382571949</v>
          </cell>
          <cell r="K111">
            <v>0.42036761053154498</v>
          </cell>
          <cell r="L111">
            <v>0.41534620186305582</v>
          </cell>
          <cell r="M111">
            <v>0.41498170614288465</v>
          </cell>
        </row>
        <row r="112">
          <cell r="F112">
            <v>10</v>
          </cell>
          <cell r="G112" t="str">
            <v>Finger Lakes</v>
          </cell>
          <cell r="H112">
            <v>0.42321792260692465</v>
          </cell>
          <cell r="I112">
            <v>0.41398058252427183</v>
          </cell>
          <cell r="J112">
            <v>0.39936460474677632</v>
          </cell>
          <cell r="K112">
            <v>0.39895652173913043</v>
          </cell>
          <cell r="L112">
            <v>0.3812509329750709</v>
          </cell>
          <cell r="M112">
            <v>0.38442682047584714</v>
          </cell>
        </row>
        <row r="113">
          <cell r="F113">
            <v>11</v>
          </cell>
          <cell r="G113" t="str">
            <v>Fulton-Montgomery</v>
          </cell>
          <cell r="H113">
            <v>0.78029959146618244</v>
          </cell>
          <cell r="I113">
            <v>0.78210477515067223</v>
          </cell>
          <cell r="J113">
            <v>0.78657718120805364</v>
          </cell>
          <cell r="K113">
            <v>0.77603305785123966</v>
          </cell>
          <cell r="L113">
            <v>0.7847730600292826</v>
          </cell>
          <cell r="M113">
            <v>0.79421108365690085</v>
          </cell>
        </row>
        <row r="114">
          <cell r="F114">
            <v>12</v>
          </cell>
          <cell r="G114" t="str">
            <v>Genesee</v>
          </cell>
          <cell r="H114">
            <v>0.27935285053929121</v>
          </cell>
          <cell r="I114">
            <v>0.25880362909426419</v>
          </cell>
          <cell r="J114">
            <v>0.26081582200247216</v>
          </cell>
          <cell r="K114">
            <v>0.26963429256594723</v>
          </cell>
          <cell r="L114">
            <v>0.24930632630410654</v>
          </cell>
          <cell r="M114">
            <v>0.24966604328079081</v>
          </cell>
        </row>
        <row r="115">
          <cell r="F115">
            <v>13</v>
          </cell>
          <cell r="G115" t="str">
            <v>Herkimer</v>
          </cell>
          <cell r="H115">
            <v>0.34065934065934067</v>
          </cell>
          <cell r="I115">
            <v>0.33870005963029221</v>
          </cell>
          <cell r="J115">
            <v>0.33834134615384615</v>
          </cell>
          <cell r="K115">
            <v>0.35130533484676502</v>
          </cell>
          <cell r="L115">
            <v>0.4000997755051135</v>
          </cell>
          <cell r="M115">
            <v>0.35824059353471116</v>
          </cell>
        </row>
        <row r="116">
          <cell r="F116">
            <v>14</v>
          </cell>
          <cell r="G116" t="str">
            <v>Hudson Valley</v>
          </cell>
          <cell r="H116">
            <v>0.30503170550934694</v>
          </cell>
          <cell r="I116">
            <v>0.29710508701472554</v>
          </cell>
          <cell r="J116">
            <v>0.28692257644762525</v>
          </cell>
          <cell r="K116">
            <v>0.30093103992425441</v>
          </cell>
          <cell r="L116">
            <v>0.2906906906906907</v>
          </cell>
          <cell r="M116">
            <v>0.29221626322655458</v>
          </cell>
        </row>
        <row r="117">
          <cell r="F117">
            <v>15</v>
          </cell>
          <cell r="G117" t="str">
            <v>Jamestown</v>
          </cell>
          <cell r="H117">
            <v>0.56647556647556652</v>
          </cell>
          <cell r="I117">
            <v>0.56777149016437622</v>
          </cell>
          <cell r="J117">
            <v>0.57929187741743526</v>
          </cell>
          <cell r="K117">
            <v>0.57560183932918585</v>
          </cell>
          <cell r="L117">
            <v>0.57629224652087474</v>
          </cell>
          <cell r="M117">
            <v>0.60281442392260332</v>
          </cell>
        </row>
        <row r="118">
          <cell r="F118">
            <v>16</v>
          </cell>
          <cell r="G118" t="str">
            <v>Jefferson</v>
          </cell>
          <cell r="H118">
            <v>0.77015341701534168</v>
          </cell>
          <cell r="I118">
            <v>0.77195685670261938</v>
          </cell>
          <cell r="J118">
            <v>0.77185835161391414</v>
          </cell>
          <cell r="K118">
            <v>0.78643216080402012</v>
          </cell>
          <cell r="L118">
            <v>0.79993964996982503</v>
          </cell>
          <cell r="M118">
            <v>0.81273408239700373</v>
          </cell>
        </row>
        <row r="119">
          <cell r="F119">
            <v>17</v>
          </cell>
          <cell r="G119" t="str">
            <v>Mohawk Valley</v>
          </cell>
          <cell r="H119">
            <v>0.75250668449197866</v>
          </cell>
          <cell r="I119">
            <v>0.76247877758913407</v>
          </cell>
          <cell r="J119">
            <v>0.75181998676373263</v>
          </cell>
          <cell r="K119">
            <v>0.75258732212160417</v>
          </cell>
          <cell r="L119">
            <v>0.76076196190190493</v>
          </cell>
          <cell r="M119">
            <v>0.74814814814814812</v>
          </cell>
        </row>
        <row r="120">
          <cell r="F120">
            <v>18</v>
          </cell>
          <cell r="G120" t="str">
            <v>Monroe</v>
          </cell>
          <cell r="H120">
            <v>0.81323002197293859</v>
          </cell>
          <cell r="I120">
            <v>0.80146113383985973</v>
          </cell>
          <cell r="J120">
            <v>0.80019448575677843</v>
          </cell>
          <cell r="K120">
            <v>0.80341172573699904</v>
          </cell>
          <cell r="L120">
            <v>0.80181272066185383</v>
          </cell>
          <cell r="M120">
            <v>0.80031587259805215</v>
          </cell>
        </row>
        <row r="121">
          <cell r="F121">
            <v>19</v>
          </cell>
          <cell r="G121" t="str">
            <v>Nassau</v>
          </cell>
          <cell r="H121">
            <v>0.7390724057390724</v>
          </cell>
          <cell r="I121">
            <v>0.73988412077818078</v>
          </cell>
          <cell r="J121">
            <v>0.74025974025974028</v>
          </cell>
          <cell r="K121">
            <v>0.76300816738551891</v>
          </cell>
          <cell r="L121">
            <v>0.778951538359963</v>
          </cell>
          <cell r="M121">
            <v>0.76989102537131315</v>
          </cell>
        </row>
        <row r="122">
          <cell r="F122">
            <v>20</v>
          </cell>
          <cell r="G122" t="str">
            <v>Niagara</v>
          </cell>
          <cell r="H122">
            <v>0.7502305847629589</v>
          </cell>
          <cell r="I122">
            <v>0.74713418745785565</v>
          </cell>
          <cell r="J122">
            <v>0.72958458379402935</v>
          </cell>
          <cell r="K122">
            <v>0.720113994300285</v>
          </cell>
          <cell r="L122">
            <v>0.69762329990383298</v>
          </cell>
          <cell r="M122">
            <v>0.69305331179321483</v>
          </cell>
        </row>
        <row r="123">
          <cell r="F123">
            <v>21</v>
          </cell>
          <cell r="G123" t="str">
            <v>North Country</v>
          </cell>
          <cell r="H123">
            <v>0.79750778816199375</v>
          </cell>
          <cell r="I123">
            <v>0.78789731051344747</v>
          </cell>
          <cell r="J123">
            <v>0.79298447383553772</v>
          </cell>
          <cell r="K123">
            <v>0.75928753180661579</v>
          </cell>
          <cell r="L123">
            <v>0.71019108280254772</v>
          </cell>
          <cell r="M123">
            <v>0.71409455842997327</v>
          </cell>
        </row>
        <row r="124">
          <cell r="F124">
            <v>22</v>
          </cell>
          <cell r="G124" t="str">
            <v>Onondaga</v>
          </cell>
          <cell r="H124">
            <v>0.82463996127314532</v>
          </cell>
          <cell r="I124">
            <v>0.7909081230703715</v>
          </cell>
          <cell r="J124">
            <v>0.72529848641534267</v>
          </cell>
          <cell r="K124">
            <v>0.73889096340552651</v>
          </cell>
          <cell r="L124">
            <v>0.73650107991360692</v>
          </cell>
          <cell r="M124">
            <v>0.75893084429359359</v>
          </cell>
        </row>
        <row r="125">
          <cell r="F125">
            <v>23</v>
          </cell>
          <cell r="G125" t="str">
            <v>Orange</v>
          </cell>
          <cell r="H125">
            <v>0.83837913367489525</v>
          </cell>
          <cell r="I125">
            <v>0.84255710562624564</v>
          </cell>
          <cell r="J125">
            <v>0.85943653438352019</v>
          </cell>
          <cell r="K125">
            <v>0.85331953275173744</v>
          </cell>
          <cell r="L125">
            <v>0.85907504363001741</v>
          </cell>
          <cell r="M125">
            <v>0.85182564392867255</v>
          </cell>
        </row>
        <row r="126">
          <cell r="F126">
            <v>24</v>
          </cell>
          <cell r="G126" t="str">
            <v>Rockland</v>
          </cell>
          <cell r="H126">
            <v>0.77897233201581029</v>
          </cell>
          <cell r="I126">
            <v>0.77134986225895319</v>
          </cell>
          <cell r="J126">
            <v>0.77814519765519319</v>
          </cell>
          <cell r="K126">
            <v>0.77200515242593393</v>
          </cell>
          <cell r="L126">
            <v>0.76397089111629823</v>
          </cell>
          <cell r="M126">
            <v>0.77095456233750159</v>
          </cell>
        </row>
        <row r="127">
          <cell r="F127">
            <v>25</v>
          </cell>
          <cell r="G127" t="str">
            <v>Schenectady</v>
          </cell>
          <cell r="H127">
            <v>0.59642481598317565</v>
          </cell>
          <cell r="I127">
            <v>0.59895715257311266</v>
          </cell>
          <cell r="J127">
            <v>0.58186397984886651</v>
          </cell>
          <cell r="K127">
            <v>0.58077161130596244</v>
          </cell>
          <cell r="L127">
            <v>0.61548834521286844</v>
          </cell>
          <cell r="M127">
            <v>0.60950896336710836</v>
          </cell>
        </row>
        <row r="128">
          <cell r="F128">
            <v>26</v>
          </cell>
          <cell r="G128" t="str">
            <v>Suffolk</v>
          </cell>
          <cell r="H128">
            <v>0.95557129367327664</v>
          </cell>
          <cell r="I128">
            <v>0.94830504597648568</v>
          </cell>
          <cell r="J128">
            <v>0.947763896433098</v>
          </cell>
          <cell r="K128">
            <v>0.95337620578778137</v>
          </cell>
          <cell r="L128">
            <v>0.96873741036177585</v>
          </cell>
          <cell r="M128">
            <v>0.96145065309330435</v>
          </cell>
        </row>
        <row r="129">
          <cell r="F129">
            <v>27</v>
          </cell>
          <cell r="G129" t="str">
            <v>Sullivan</v>
          </cell>
          <cell r="H129">
            <v>0.60985748218527314</v>
          </cell>
          <cell r="I129">
            <v>0.63360198388096711</v>
          </cell>
          <cell r="J129">
            <v>0.68032278088144005</v>
          </cell>
          <cell r="K129">
            <v>0.66567695961995255</v>
          </cell>
          <cell r="L129">
            <v>0.65014409221902014</v>
          </cell>
          <cell r="M129">
            <v>0.68096054888507718</v>
          </cell>
        </row>
        <row r="130">
          <cell r="F130">
            <v>28</v>
          </cell>
          <cell r="G130" t="str">
            <v>Tompkins-Cortland</v>
          </cell>
          <cell r="H130">
            <v>0.61436672967863892</v>
          </cell>
          <cell r="I130">
            <v>0.57228315054835488</v>
          </cell>
          <cell r="J130">
            <v>0.56551509492685959</v>
          </cell>
          <cell r="K130">
            <v>0.56561639645151418</v>
          </cell>
          <cell r="L130">
            <v>0.56636928899702621</v>
          </cell>
          <cell r="M130">
            <v>0.50843460910575</v>
          </cell>
        </row>
        <row r="131">
          <cell r="F131">
            <v>29</v>
          </cell>
          <cell r="G131" t="str">
            <v>Ulster</v>
          </cell>
          <cell r="H131">
            <v>0.88746483276023758</v>
          </cell>
          <cell r="I131">
            <v>0.89344262295081966</v>
          </cell>
          <cell r="J131">
            <v>0.9017586416009703</v>
          </cell>
          <cell r="K131">
            <v>0.88960411972964271</v>
          </cell>
          <cell r="L131">
            <v>0.90411731528482797</v>
          </cell>
          <cell r="M131">
            <v>0.88090070537167664</v>
          </cell>
        </row>
        <row r="132">
          <cell r="F132">
            <v>30</v>
          </cell>
          <cell r="G132" t="str">
            <v>Westchester</v>
          </cell>
          <cell r="H132">
            <v>0.78588723625043233</v>
          </cell>
          <cell r="I132">
            <v>0.78849641592538211</v>
          </cell>
          <cell r="J132">
            <v>0.78961318644910128</v>
          </cell>
          <cell r="K132">
            <v>0.77927535082851029</v>
          </cell>
          <cell r="L132">
            <v>0.77726726514455358</v>
          </cell>
          <cell r="M132">
            <v>0.78003311019938093</v>
          </cell>
        </row>
        <row r="134">
          <cell r="F134">
            <v>0</v>
          </cell>
          <cell r="G134" t="str">
            <v>Community Colleges</v>
          </cell>
          <cell r="H134">
            <v>0.20278830925757066</v>
          </cell>
          <cell r="I134">
            <v>0.20677416423115005</v>
          </cell>
          <cell r="J134">
            <v>0.2108635448724834</v>
          </cell>
          <cell r="K134">
            <v>0.22136247426412362</v>
          </cell>
          <cell r="L134">
            <v>0.22880371175388731</v>
          </cell>
          <cell r="M134">
            <v>0.24241318323460881</v>
          </cell>
        </row>
        <row r="135">
          <cell r="F135">
            <v>1</v>
          </cell>
          <cell r="G135" t="str">
            <v>Adirondack</v>
          </cell>
          <cell r="H135">
            <v>3.3495562553678783E-2</v>
          </cell>
          <cell r="I135">
            <v>3.0244173140954494E-2</v>
          </cell>
          <cell r="J135">
            <v>2.7582159624413145E-2</v>
          </cell>
          <cell r="K135">
            <v>2.8876696505919723E-2</v>
          </cell>
          <cell r="L135">
            <v>4.4668215853343664E-2</v>
          </cell>
          <cell r="M135">
            <v>5.1982591876208899E-2</v>
          </cell>
        </row>
        <row r="136">
          <cell r="F136">
            <v>2</v>
          </cell>
          <cell r="G136" t="str">
            <v>Broome</v>
          </cell>
          <cell r="H136">
            <v>5.1364365971107544E-2</v>
          </cell>
          <cell r="I136">
            <v>6.5743393823623056E-2</v>
          </cell>
          <cell r="J136">
            <v>7.3040561146691066E-2</v>
          </cell>
          <cell r="K136">
            <v>8.4377358490566032E-2</v>
          </cell>
          <cell r="L136">
            <v>9.2191362512723571E-2</v>
          </cell>
          <cell r="M136">
            <v>8.1916788084830827E-2</v>
          </cell>
        </row>
        <row r="137">
          <cell r="F137">
            <v>3</v>
          </cell>
          <cell r="G137" t="str">
            <v>Cayuga</v>
          </cell>
          <cell r="H137">
            <v>4.894558708669617E-2</v>
          </cell>
          <cell r="I137">
            <v>4.523132592401137E-2</v>
          </cell>
          <cell r="J137">
            <v>4.1234567901234566E-2</v>
          </cell>
          <cell r="K137">
            <v>4.5897435897435897E-2</v>
          </cell>
          <cell r="L137">
            <v>8.5660691954981244E-2</v>
          </cell>
          <cell r="M137">
            <v>6.9506251324433138E-2</v>
          </cell>
        </row>
        <row r="138">
          <cell r="F138">
            <v>4</v>
          </cell>
          <cell r="G138" t="str">
            <v>Clinton</v>
          </cell>
          <cell r="H138">
            <v>6.3885267275097787E-2</v>
          </cell>
          <cell r="I138">
            <v>6.7741935483870974E-2</v>
          </cell>
          <cell r="J138">
            <v>6.650943396226415E-2</v>
          </cell>
          <cell r="K138">
            <v>7.1601354620222546E-2</v>
          </cell>
          <cell r="L138">
            <v>7.3463935886019585E-2</v>
          </cell>
          <cell r="M138">
            <v>8.3333333333333329E-2</v>
          </cell>
        </row>
        <row r="139">
          <cell r="F139">
            <v>5</v>
          </cell>
          <cell r="G139" t="str">
            <v>Columbia-Greene</v>
          </cell>
          <cell r="H139">
            <v>9.375E-2</v>
          </cell>
          <cell r="I139">
            <v>9.5480225988700568E-2</v>
          </cell>
          <cell r="J139">
            <v>0.10038398244651674</v>
          </cell>
          <cell r="K139">
            <v>0.11038607939097335</v>
          </cell>
          <cell r="L139">
            <v>0.13330078125</v>
          </cell>
          <cell r="M139">
            <v>0.137863121614968</v>
          </cell>
        </row>
        <row r="140">
          <cell r="F140">
            <v>6</v>
          </cell>
          <cell r="G140" t="str">
            <v>Corning</v>
          </cell>
          <cell r="H140">
            <v>4.182366239638282E-2</v>
          </cell>
          <cell r="I140">
            <v>4.4960579586618366E-2</v>
          </cell>
          <cell r="J140">
            <v>4.3769716088328074E-2</v>
          </cell>
          <cell r="K140">
            <v>4.3352601156069363E-2</v>
          </cell>
          <cell r="L140">
            <v>6.4000000000000001E-2</v>
          </cell>
          <cell r="M140">
            <v>7.1375602521319984E-2</v>
          </cell>
        </row>
        <row r="141">
          <cell r="F141">
            <v>7</v>
          </cell>
          <cell r="G141" t="str">
            <v>Dutchess</v>
          </cell>
          <cell r="H141">
            <v>0.19825436408977556</v>
          </cell>
          <cell r="I141">
            <v>0.2015640766902119</v>
          </cell>
          <cell r="J141">
            <v>0.20489815712900097</v>
          </cell>
          <cell r="K141">
            <v>0.22876970124676546</v>
          </cell>
          <cell r="L141">
            <v>0.22569479792324137</v>
          </cell>
          <cell r="M141">
            <v>0.27098460644786521</v>
          </cell>
        </row>
        <row r="142">
          <cell r="F142">
            <v>8</v>
          </cell>
          <cell r="G142" t="str">
            <v>Erie</v>
          </cell>
          <cell r="H142">
            <v>0.22619894129730583</v>
          </cell>
          <cell r="I142">
            <v>0.2350906855210575</v>
          </cell>
          <cell r="J142">
            <v>0.237340075078526</v>
          </cell>
          <cell r="K142">
            <v>0.24534773407283075</v>
          </cell>
          <cell r="L142">
            <v>0.25082641840383191</v>
          </cell>
          <cell r="M142">
            <v>0.26239724211084592</v>
          </cell>
        </row>
        <row r="143">
          <cell r="F143">
            <v>9</v>
          </cell>
          <cell r="G143" t="str">
            <v>Fashion Institute</v>
          </cell>
          <cell r="H143">
            <v>0.31037472305172914</v>
          </cell>
          <cell r="I143">
            <v>0.31088911088911086</v>
          </cell>
          <cell r="J143">
            <v>0.28738176695512174</v>
          </cell>
          <cell r="K143">
            <v>0.27352210630899154</v>
          </cell>
          <cell r="L143">
            <v>0.24267742245270335</v>
          </cell>
          <cell r="M143">
            <v>0.33901405738494128</v>
          </cell>
        </row>
        <row r="144">
          <cell r="F144">
            <v>10</v>
          </cell>
          <cell r="G144" t="str">
            <v>Finger Lakes</v>
          </cell>
          <cell r="H144">
            <v>5.6619144602851321E-2</v>
          </cell>
          <cell r="I144">
            <v>5.7087378640776697E-2</v>
          </cell>
          <cell r="J144">
            <v>7.2136049336572597E-2</v>
          </cell>
          <cell r="K144">
            <v>7.7913043478260863E-2</v>
          </cell>
          <cell r="L144">
            <v>9.4342439170025383E-2</v>
          </cell>
          <cell r="M144">
            <v>0.10122566690699351</v>
          </cell>
        </row>
        <row r="145">
          <cell r="F145">
            <v>11</v>
          </cell>
          <cell r="G145" t="str">
            <v>Fulton-Montgomery</v>
          </cell>
          <cell r="H145">
            <v>0.10485701316386746</v>
          </cell>
          <cell r="I145">
            <v>0.10013908205841446</v>
          </cell>
          <cell r="J145">
            <v>0.11543624161073826</v>
          </cell>
          <cell r="K145">
            <v>0.11900826446280992</v>
          </cell>
          <cell r="L145">
            <v>0.1226207906295754</v>
          </cell>
          <cell r="M145">
            <v>0.11013060360042358</v>
          </cell>
        </row>
        <row r="146">
          <cell r="F146">
            <v>12</v>
          </cell>
          <cell r="G146" t="str">
            <v>Genesee</v>
          </cell>
          <cell r="H146">
            <v>4.5608628659476118E-2</v>
          </cell>
          <cell r="I146">
            <v>4.5825003844379514E-2</v>
          </cell>
          <cell r="J146">
            <v>5.7787391841779973E-2</v>
          </cell>
          <cell r="K146">
            <v>6.2050359712230219E-2</v>
          </cell>
          <cell r="L146">
            <v>8.1853496115427304E-2</v>
          </cell>
          <cell r="M146">
            <v>9.1103393000267166E-2</v>
          </cell>
        </row>
        <row r="147">
          <cell r="F147">
            <v>13</v>
          </cell>
          <cell r="G147" t="str">
            <v>Herkimer</v>
          </cell>
          <cell r="H147">
            <v>0.10791772330233869</v>
          </cell>
          <cell r="I147">
            <v>0.12343470483005367</v>
          </cell>
          <cell r="J147">
            <v>0.13491586538461539</v>
          </cell>
          <cell r="K147">
            <v>0.1362088535754824</v>
          </cell>
          <cell r="L147">
            <v>7.7824893988525823E-2</v>
          </cell>
          <cell r="M147">
            <v>0.20323264440911501</v>
          </cell>
        </row>
        <row r="148">
          <cell r="F148">
            <v>14</v>
          </cell>
          <cell r="G148" t="str">
            <v>Hudson Valley</v>
          </cell>
          <cell r="H148">
            <v>0.13250432347854732</v>
          </cell>
          <cell r="I148">
            <v>0.13529116465863453</v>
          </cell>
          <cell r="J148">
            <v>0.13915094339622641</v>
          </cell>
          <cell r="K148">
            <v>0.13973489032665298</v>
          </cell>
          <cell r="L148">
            <v>0.26058558558558559</v>
          </cell>
          <cell r="M148">
            <v>0.19154949992752573</v>
          </cell>
        </row>
        <row r="149">
          <cell r="F149">
            <v>15</v>
          </cell>
          <cell r="G149" t="str">
            <v>Jamestown</v>
          </cell>
          <cell r="H149">
            <v>6.033306033306033E-2</v>
          </cell>
          <cell r="I149">
            <v>5.7396928051738079E-2</v>
          </cell>
          <cell r="J149">
            <v>7.2002380243975012E-2</v>
          </cell>
          <cell r="K149">
            <v>7.438463619150662E-2</v>
          </cell>
          <cell r="L149">
            <v>8.2753479125248511E-2</v>
          </cell>
          <cell r="M149">
            <v>0.10026385224274406</v>
          </cell>
        </row>
        <row r="150">
          <cell r="F150">
            <v>16</v>
          </cell>
          <cell r="G150" t="str">
            <v>Jefferson</v>
          </cell>
          <cell r="H150">
            <v>0.11659693165969316</v>
          </cell>
          <cell r="I150">
            <v>0.11309707241910631</v>
          </cell>
          <cell r="J150">
            <v>0.11062362895643998</v>
          </cell>
          <cell r="K150">
            <v>9.0766331658291455E-2</v>
          </cell>
          <cell r="L150">
            <v>0.13126131563065782</v>
          </cell>
          <cell r="M150">
            <v>0.14018191546281433</v>
          </cell>
        </row>
        <row r="151">
          <cell r="F151">
            <v>17</v>
          </cell>
          <cell r="G151" t="str">
            <v>Mohawk Valley</v>
          </cell>
          <cell r="H151">
            <v>0.10344251336898395</v>
          </cell>
          <cell r="I151">
            <v>0.10950764006791172</v>
          </cell>
          <cell r="J151">
            <v>0.10721376571806751</v>
          </cell>
          <cell r="K151">
            <v>0.12483829236739974</v>
          </cell>
          <cell r="L151">
            <v>0.14999250037498124</v>
          </cell>
          <cell r="M151">
            <v>0.1745632424877708</v>
          </cell>
        </row>
        <row r="152">
          <cell r="F152">
            <v>18</v>
          </cell>
          <cell r="G152" t="str">
            <v>Monroe</v>
          </cell>
          <cell r="H152">
            <v>0.25442349947958831</v>
          </cell>
          <cell r="I152">
            <v>0.25096434833430742</v>
          </cell>
          <cell r="J152">
            <v>0.25271708042558061</v>
          </cell>
          <cell r="K152">
            <v>0.25924699127746492</v>
          </cell>
          <cell r="L152">
            <v>0.27417400010539072</v>
          </cell>
          <cell r="M152">
            <v>0.3211897867859963</v>
          </cell>
        </row>
        <row r="153">
          <cell r="F153">
            <v>19</v>
          </cell>
          <cell r="G153" t="str">
            <v>Nassau</v>
          </cell>
          <cell r="H153">
            <v>0.36851136851136851</v>
          </cell>
          <cell r="I153">
            <v>0.38014037401667528</v>
          </cell>
          <cell r="J153">
            <v>0.38677093515803196</v>
          </cell>
          <cell r="K153">
            <v>0.42318986877122144</v>
          </cell>
          <cell r="L153">
            <v>0.41102161186671948</v>
          </cell>
          <cell r="M153">
            <v>0.43884377498211807</v>
          </cell>
        </row>
        <row r="154">
          <cell r="F154">
            <v>20</v>
          </cell>
          <cell r="G154" t="str">
            <v>Niagara</v>
          </cell>
          <cell r="H154">
            <v>0.10772920125438111</v>
          </cell>
          <cell r="I154">
            <v>0.10148347943358058</v>
          </cell>
          <cell r="J154">
            <v>9.7299004896540836E-2</v>
          </cell>
          <cell r="K154">
            <v>0.10559472026398679</v>
          </cell>
          <cell r="L154">
            <v>0.1059211430141503</v>
          </cell>
          <cell r="M154">
            <v>0.14485729671513192</v>
          </cell>
        </row>
        <row r="155">
          <cell r="F155">
            <v>21</v>
          </cell>
          <cell r="G155" t="str">
            <v>North Country</v>
          </cell>
          <cell r="H155">
            <v>5.1090342679127723E-2</v>
          </cell>
          <cell r="I155">
            <v>4.8899755501222497E-2</v>
          </cell>
          <cell r="J155">
            <v>6.6129959746981021E-2</v>
          </cell>
          <cell r="K155">
            <v>7.6844783715012729E-2</v>
          </cell>
          <cell r="L155">
            <v>8.0527752502274799E-2</v>
          </cell>
          <cell r="M155">
            <v>2.31935771632471E-2</v>
          </cell>
        </row>
        <row r="156">
          <cell r="F156">
            <v>22</v>
          </cell>
          <cell r="G156" t="str">
            <v>Onondaga</v>
          </cell>
          <cell r="H156">
            <v>0.12428899915285005</v>
          </cell>
          <cell r="I156">
            <v>0.12849994676887044</v>
          </cell>
          <cell r="J156">
            <v>0.12099276111685625</v>
          </cell>
          <cell r="K156">
            <v>0.14497759522031367</v>
          </cell>
          <cell r="L156">
            <v>0.14936035886359861</v>
          </cell>
          <cell r="M156">
            <v>0.17564700890963089</v>
          </cell>
        </row>
        <row r="157">
          <cell r="F157">
            <v>23</v>
          </cell>
          <cell r="G157" t="str">
            <v>Orange</v>
          </cell>
          <cell r="H157">
            <v>0.24437199192671946</v>
          </cell>
          <cell r="I157">
            <v>0.24513260769584547</v>
          </cell>
          <cell r="J157">
            <v>0.2737049378976068</v>
          </cell>
          <cell r="K157">
            <v>0.29395238799349399</v>
          </cell>
          <cell r="L157">
            <v>0.30002908667830136</v>
          </cell>
          <cell r="M157">
            <v>0.32988961222756863</v>
          </cell>
        </row>
        <row r="158">
          <cell r="F158">
            <v>24</v>
          </cell>
          <cell r="G158" t="str">
            <v>Rockland</v>
          </cell>
          <cell r="H158">
            <v>0.39399209486166009</v>
          </cell>
          <cell r="I158">
            <v>0.39005023497002106</v>
          </cell>
          <cell r="J158">
            <v>0.39531038629189841</v>
          </cell>
          <cell r="K158">
            <v>0.40603978817804492</v>
          </cell>
          <cell r="L158">
            <v>0.40752437182479745</v>
          </cell>
          <cell r="M158">
            <v>0.38529156865172715</v>
          </cell>
        </row>
        <row r="159">
          <cell r="F159">
            <v>25</v>
          </cell>
          <cell r="G159" t="str">
            <v>Schenectady</v>
          </cell>
          <cell r="H159">
            <v>0.15688748685594112</v>
          </cell>
          <cell r="I159">
            <v>0.15937429154386759</v>
          </cell>
          <cell r="J159">
            <v>0.16739180215250743</v>
          </cell>
          <cell r="K159">
            <v>0.1646379203631112</v>
          </cell>
          <cell r="L159">
            <v>0.18089000192641111</v>
          </cell>
          <cell r="M159">
            <v>0.15962587685113017</v>
          </cell>
        </row>
        <row r="160">
          <cell r="F160">
            <v>26</v>
          </cell>
          <cell r="G160" t="str">
            <v>Suffolk</v>
          </cell>
          <cell r="H160">
            <v>0.22049102927289896</v>
          </cell>
          <cell r="I160">
            <v>0.22764078869115695</v>
          </cell>
          <cell r="J160">
            <v>0.23687307622668841</v>
          </cell>
          <cell r="K160">
            <v>0.24024506821934474</v>
          </cell>
          <cell r="L160">
            <v>0.23777294335669971</v>
          </cell>
          <cell r="M160">
            <v>0.22388562446199334</v>
          </cell>
        </row>
        <row r="161">
          <cell r="F161">
            <v>27</v>
          </cell>
          <cell r="G161" t="str">
            <v>Sullivan</v>
          </cell>
          <cell r="H161">
            <v>0.28681710213776723</v>
          </cell>
          <cell r="I161">
            <v>0.25666460012399256</v>
          </cell>
          <cell r="J161">
            <v>0.26505276225946617</v>
          </cell>
          <cell r="K161">
            <v>0.28800475059382424</v>
          </cell>
          <cell r="L161">
            <v>0.32737752161383288</v>
          </cell>
          <cell r="M161">
            <v>0.32761578044596912</v>
          </cell>
        </row>
        <row r="162">
          <cell r="F162">
            <v>28</v>
          </cell>
          <cell r="G162" t="str">
            <v>Tompkins-Cortland</v>
          </cell>
          <cell r="H162">
            <v>0.10775047258979206</v>
          </cell>
          <cell r="I162">
            <v>0.1163177135260884</v>
          </cell>
          <cell r="J162">
            <v>0.12013694366635543</v>
          </cell>
          <cell r="K162">
            <v>0.11930253900275313</v>
          </cell>
          <cell r="L162">
            <v>0.12949445796161124</v>
          </cell>
          <cell r="M162">
            <v>0.14202793397424271</v>
          </cell>
        </row>
        <row r="163">
          <cell r="F163">
            <v>29</v>
          </cell>
          <cell r="G163" t="str">
            <v>Ulster</v>
          </cell>
          <cell r="H163">
            <v>0.10472022507033447</v>
          </cell>
          <cell r="I163">
            <v>0.10807528840315725</v>
          </cell>
          <cell r="J163">
            <v>0.11431170406306852</v>
          </cell>
          <cell r="K163">
            <v>0.12327003540392661</v>
          </cell>
          <cell r="L163">
            <v>0.13423575860124085</v>
          </cell>
          <cell r="M163">
            <v>0.15382528486163863</v>
          </cell>
        </row>
        <row r="164">
          <cell r="F164">
            <v>30</v>
          </cell>
          <cell r="G164" t="str">
            <v>Westchester</v>
          </cell>
          <cell r="H164">
            <v>0.42398823936354202</v>
          </cell>
          <cell r="I164">
            <v>0.44157526556697468</v>
          </cell>
          <cell r="J164">
            <v>0.4526629669510478</v>
          </cell>
          <cell r="K164">
            <v>0.47347974312217556</v>
          </cell>
          <cell r="L164">
            <v>0.48137414292782921</v>
          </cell>
          <cell r="M164">
            <v>0.48276110271359679</v>
          </cell>
        </row>
        <row r="166">
          <cell r="F166">
            <v>0</v>
          </cell>
          <cell r="G166" t="str">
            <v>Community Colleges</v>
          </cell>
          <cell r="H166">
            <v>0.30850410327782313</v>
          </cell>
          <cell r="I166">
            <v>0.29951353445678014</v>
          </cell>
          <cell r="J166">
            <v>0.28506647861802931</v>
          </cell>
          <cell r="K166">
            <v>0.27774836534763231</v>
          </cell>
          <cell r="L166">
            <v>0.28374435713091456</v>
          </cell>
          <cell r="M166">
            <v>0.28149927610919723</v>
          </cell>
        </row>
        <row r="167">
          <cell r="F167">
            <v>1</v>
          </cell>
          <cell r="G167" t="str">
            <v>Adirondack</v>
          </cell>
          <cell r="H167">
            <v>0.31606069281419985</v>
          </cell>
          <cell r="I167">
            <v>0.30771365149833518</v>
          </cell>
          <cell r="J167">
            <v>0.28433098591549294</v>
          </cell>
          <cell r="K167">
            <v>0.27172971412070457</v>
          </cell>
          <cell r="L167">
            <v>0.29073069971598242</v>
          </cell>
          <cell r="M167">
            <v>0.30125725338491294</v>
          </cell>
        </row>
        <row r="168">
          <cell r="F168">
            <v>2</v>
          </cell>
          <cell r="G168" t="str">
            <v>Broome</v>
          </cell>
          <cell r="H168">
            <v>0.30208667736757622</v>
          </cell>
          <cell r="I168">
            <v>0.2857370264247055</v>
          </cell>
          <cell r="J168">
            <v>0.27569380908813662</v>
          </cell>
          <cell r="K168">
            <v>0.27849056603773586</v>
          </cell>
          <cell r="L168">
            <v>0.28762541806020064</v>
          </cell>
          <cell r="M168">
            <v>0.32410555285737414</v>
          </cell>
        </row>
        <row r="169">
          <cell r="F169">
            <v>3</v>
          </cell>
          <cell r="G169" t="str">
            <v>Cayuga</v>
          </cell>
          <cell r="H169">
            <v>0.29862015100234313</v>
          </cell>
          <cell r="I169">
            <v>0.2967174980615146</v>
          </cell>
          <cell r="J169">
            <v>0.3037037037037037</v>
          </cell>
          <cell r="K169">
            <v>0.30538461538461537</v>
          </cell>
          <cell r="L169">
            <v>0.30471029595664861</v>
          </cell>
          <cell r="M169">
            <v>0.32337359610086885</v>
          </cell>
        </row>
        <row r="170">
          <cell r="F170">
            <v>4</v>
          </cell>
          <cell r="G170" t="str">
            <v>Clinton</v>
          </cell>
          <cell r="H170">
            <v>0.2607561929595828</v>
          </cell>
          <cell r="I170">
            <v>0.25576036866359447</v>
          </cell>
          <cell r="J170">
            <v>0.22924528301886793</v>
          </cell>
          <cell r="K170">
            <v>0.21190130624092887</v>
          </cell>
          <cell r="L170">
            <v>0.22751558325912732</v>
          </cell>
          <cell r="M170">
            <v>0.22321428571428573</v>
          </cell>
        </row>
        <row r="171">
          <cell r="F171">
            <v>5</v>
          </cell>
          <cell r="G171" t="str">
            <v>Columbia-Greene</v>
          </cell>
          <cell r="H171">
            <v>0.31770833333333331</v>
          </cell>
          <cell r="I171">
            <v>0.29661016949152541</v>
          </cell>
          <cell r="J171">
            <v>0.27921009325287988</v>
          </cell>
          <cell r="K171">
            <v>0.26862425231103859</v>
          </cell>
          <cell r="L171">
            <v>0.27880859375</v>
          </cell>
          <cell r="M171">
            <v>0.30969965534219596</v>
          </cell>
        </row>
        <row r="172">
          <cell r="F172">
            <v>6</v>
          </cell>
          <cell r="G172" t="str">
            <v>Corning</v>
          </cell>
          <cell r="H172">
            <v>0.26770911831198191</v>
          </cell>
          <cell r="I172">
            <v>0.30002130833155766</v>
          </cell>
          <cell r="J172">
            <v>0.25788643533123029</v>
          </cell>
          <cell r="K172">
            <v>0.24585741811175338</v>
          </cell>
          <cell r="L172">
            <v>0.28842213114754101</v>
          </cell>
          <cell r="M172">
            <v>0.26065999258435296</v>
          </cell>
        </row>
        <row r="173">
          <cell r="F173">
            <v>7</v>
          </cell>
          <cell r="G173" t="str">
            <v>Dutchess</v>
          </cell>
          <cell r="H173">
            <v>0.3120947630922693</v>
          </cell>
          <cell r="I173">
            <v>0.28973259334006052</v>
          </cell>
          <cell r="J173">
            <v>0.27752182347235693</v>
          </cell>
          <cell r="K173">
            <v>0.26229122559397788</v>
          </cell>
          <cell r="L173">
            <v>0.25002545047337882</v>
          </cell>
          <cell r="M173">
            <v>0.24397327911704908</v>
          </cell>
        </row>
        <row r="174">
          <cell r="F174">
            <v>8</v>
          </cell>
          <cell r="G174" t="str">
            <v>Erie</v>
          </cell>
          <cell r="H174">
            <v>0.30741881962550366</v>
          </cell>
          <cell r="I174">
            <v>0.3121733784199201</v>
          </cell>
          <cell r="J174">
            <v>0.30690262774841032</v>
          </cell>
          <cell r="K174">
            <v>0.30518864482230168</v>
          </cell>
          <cell r="L174">
            <v>0.32807124063954662</v>
          </cell>
          <cell r="M174">
            <v>0.33465924158048266</v>
          </cell>
        </row>
        <row r="175">
          <cell r="F175">
            <v>9</v>
          </cell>
          <cell r="G175" t="str">
            <v>Fashion Institute</v>
          </cell>
          <cell r="H175">
            <v>0.38117715056352952</v>
          </cell>
          <cell r="I175">
            <v>0.36303696303696303</v>
          </cell>
          <cell r="J175">
            <v>0.3400080499094385</v>
          </cell>
          <cell r="K175">
            <v>0.33035270740188771</v>
          </cell>
          <cell r="L175">
            <v>0.33871122635167578</v>
          </cell>
          <cell r="M175">
            <v>0.33834007317542847</v>
          </cell>
        </row>
        <row r="176">
          <cell r="F176">
            <v>10</v>
          </cell>
          <cell r="G176" t="str">
            <v>Finger Lakes</v>
          </cell>
          <cell r="H176">
            <v>0.27698574338085541</v>
          </cell>
          <cell r="I176">
            <v>0.26796116504854367</v>
          </cell>
          <cell r="J176">
            <v>0.25060736310969911</v>
          </cell>
          <cell r="K176">
            <v>0.24399999999999999</v>
          </cell>
          <cell r="L176">
            <v>0.25406777130915059</v>
          </cell>
          <cell r="M176">
            <v>0.26373467916366256</v>
          </cell>
        </row>
        <row r="177">
          <cell r="F177">
            <v>11</v>
          </cell>
          <cell r="G177" t="str">
            <v>Fulton-Montgomery</v>
          </cell>
          <cell r="H177">
            <v>0.24239673172945983</v>
          </cell>
          <cell r="I177">
            <v>0.2526657394529439</v>
          </cell>
          <cell r="J177">
            <v>0.23668903803131991</v>
          </cell>
          <cell r="K177">
            <v>0.23677685950413224</v>
          </cell>
          <cell r="L177">
            <v>0.25256222547584189</v>
          </cell>
          <cell r="M177">
            <v>0.28556300741263679</v>
          </cell>
        </row>
        <row r="178">
          <cell r="F178">
            <v>12</v>
          </cell>
          <cell r="G178" t="str">
            <v>Genesee</v>
          </cell>
          <cell r="H178">
            <v>0.23913713405238829</v>
          </cell>
          <cell r="I178">
            <v>0.21728433030908811</v>
          </cell>
          <cell r="J178">
            <v>0.21090852904820767</v>
          </cell>
          <cell r="K178">
            <v>0.20713429256594723</v>
          </cell>
          <cell r="L178">
            <v>0.22294672586015538</v>
          </cell>
          <cell r="M178">
            <v>0.24979962596847449</v>
          </cell>
        </row>
        <row r="179">
          <cell r="F179">
            <v>13</v>
          </cell>
          <cell r="G179" t="str">
            <v>Herkimer</v>
          </cell>
          <cell r="H179">
            <v>0.24711186249647787</v>
          </cell>
          <cell r="I179">
            <v>0.25014907573047107</v>
          </cell>
          <cell r="J179">
            <v>0.24459134615384615</v>
          </cell>
          <cell r="K179">
            <v>0.25056753688989786</v>
          </cell>
          <cell r="L179">
            <v>0.27263656772262412</v>
          </cell>
          <cell r="M179">
            <v>0.24244833068362481</v>
          </cell>
        </row>
        <row r="180">
          <cell r="F180">
            <v>14</v>
          </cell>
          <cell r="G180" t="str">
            <v>Hudson Valley</v>
          </cell>
          <cell r="H180">
            <v>0.27686733097257682</v>
          </cell>
          <cell r="I180">
            <v>0.27627175368139223</v>
          </cell>
          <cell r="J180">
            <v>0.25439167208848407</v>
          </cell>
          <cell r="K180">
            <v>0.26234811424964494</v>
          </cell>
          <cell r="L180">
            <v>0.27244744744744742</v>
          </cell>
          <cell r="M180">
            <v>0.27322800405855924</v>
          </cell>
        </row>
        <row r="181">
          <cell r="F181">
            <v>15</v>
          </cell>
          <cell r="G181" t="str">
            <v>Jamestown</v>
          </cell>
          <cell r="H181">
            <v>0.32650832650832651</v>
          </cell>
          <cell r="I181">
            <v>0.3150094314201024</v>
          </cell>
          <cell r="J181">
            <v>0.3198452841416245</v>
          </cell>
          <cell r="K181">
            <v>0.29104679469840411</v>
          </cell>
          <cell r="L181">
            <v>0.29498011928429424</v>
          </cell>
          <cell r="M181">
            <v>0.25470536499560248</v>
          </cell>
        </row>
        <row r="182">
          <cell r="F182">
            <v>16</v>
          </cell>
          <cell r="G182" t="str">
            <v>Jefferson</v>
          </cell>
          <cell r="H182">
            <v>0.35313807531380753</v>
          </cell>
          <cell r="I182">
            <v>0.33744221879815101</v>
          </cell>
          <cell r="J182">
            <v>0.34158570980883735</v>
          </cell>
          <cell r="K182">
            <v>0.30716080402010049</v>
          </cell>
          <cell r="L182">
            <v>0.32347616173808086</v>
          </cell>
          <cell r="M182">
            <v>0.3218298555377207</v>
          </cell>
        </row>
        <row r="183">
          <cell r="F183">
            <v>17</v>
          </cell>
          <cell r="G183" t="str">
            <v>Mohawk Valley</v>
          </cell>
          <cell r="H183">
            <v>0.24131016042780748</v>
          </cell>
          <cell r="I183">
            <v>0.23870967741935484</v>
          </cell>
          <cell r="J183">
            <v>0.23891462607544672</v>
          </cell>
          <cell r="K183">
            <v>0.2390038809831824</v>
          </cell>
          <cell r="L183">
            <v>0.27733613319334033</v>
          </cell>
          <cell r="M183">
            <v>0.27770789657582112</v>
          </cell>
        </row>
        <row r="184">
          <cell r="F184">
            <v>18</v>
          </cell>
          <cell r="G184" t="str">
            <v>Monroe</v>
          </cell>
          <cell r="H184">
            <v>0.34682548860876605</v>
          </cell>
          <cell r="I184">
            <v>0.33658679135008768</v>
          </cell>
          <cell r="J184">
            <v>0.32999656789840981</v>
          </cell>
          <cell r="K184">
            <v>0.3237275035883847</v>
          </cell>
          <cell r="L184">
            <v>0.3335616799283343</v>
          </cell>
          <cell r="M184">
            <v>0.33882600684390629</v>
          </cell>
        </row>
        <row r="185">
          <cell r="F185">
            <v>19</v>
          </cell>
          <cell r="G185" t="str">
            <v>Nassau</v>
          </cell>
          <cell r="H185">
            <v>0.26669526669526672</v>
          </cell>
          <cell r="I185">
            <v>0.25441612888030524</v>
          </cell>
          <cell r="J185">
            <v>0.2304147465437788</v>
          </cell>
          <cell r="K185">
            <v>0.22510782784252548</v>
          </cell>
          <cell r="L185">
            <v>0.22804700911131651</v>
          </cell>
          <cell r="M185">
            <v>0.22888879538856396</v>
          </cell>
        </row>
        <row r="186">
          <cell r="F186">
            <v>20</v>
          </cell>
          <cell r="G186" t="str">
            <v>Niagara</v>
          </cell>
          <cell r="H186">
            <v>0.28223574986164912</v>
          </cell>
          <cell r="I186">
            <v>0.27545515846257584</v>
          </cell>
          <cell r="J186">
            <v>0.27167903964618545</v>
          </cell>
          <cell r="K186">
            <v>0.25828708564571773</v>
          </cell>
          <cell r="L186">
            <v>0.25140816046160186</v>
          </cell>
          <cell r="M186">
            <v>0.2455573505654281</v>
          </cell>
        </row>
        <row r="187">
          <cell r="F187">
            <v>21</v>
          </cell>
          <cell r="G187" t="str">
            <v>North Country</v>
          </cell>
          <cell r="H187">
            <v>0.24610591900311526</v>
          </cell>
          <cell r="I187">
            <v>0.26344743276283616</v>
          </cell>
          <cell r="J187">
            <v>0.22311673375503163</v>
          </cell>
          <cell r="K187">
            <v>0.2157760814249364</v>
          </cell>
          <cell r="L187">
            <v>0.23657870791628755</v>
          </cell>
          <cell r="M187">
            <v>0.2297056199821588</v>
          </cell>
        </row>
        <row r="188">
          <cell r="F188">
            <v>22</v>
          </cell>
          <cell r="G188" t="str">
            <v>Onondaga</v>
          </cell>
          <cell r="H188">
            <v>0.31574488684497154</v>
          </cell>
          <cell r="I188">
            <v>0.30405621207282019</v>
          </cell>
          <cell r="J188">
            <v>0.31766475510012221</v>
          </cell>
          <cell r="K188">
            <v>0.29079536967886482</v>
          </cell>
          <cell r="L188">
            <v>0.30827379963449075</v>
          </cell>
          <cell r="M188">
            <v>0.29944845142129828</v>
          </cell>
        </row>
        <row r="189">
          <cell r="F189">
            <v>23</v>
          </cell>
          <cell r="G189" t="str">
            <v>Orange</v>
          </cell>
          <cell r="H189">
            <v>0.28924080111783884</v>
          </cell>
          <cell r="I189">
            <v>0.27380039858960603</v>
          </cell>
          <cell r="J189">
            <v>0.26340502877915783</v>
          </cell>
          <cell r="K189">
            <v>0.23362413130267631</v>
          </cell>
          <cell r="L189">
            <v>0.2425828970331588</v>
          </cell>
          <cell r="M189">
            <v>0.26818567789414094</v>
          </cell>
        </row>
        <row r="190">
          <cell r="F190">
            <v>24</v>
          </cell>
          <cell r="G190" t="str">
            <v>Rockland</v>
          </cell>
          <cell r="H190">
            <v>0.34260869565217389</v>
          </cell>
          <cell r="I190">
            <v>0.32895802949278885</v>
          </cell>
          <cell r="J190">
            <v>0.32391402374868478</v>
          </cell>
          <cell r="K190">
            <v>0.31429798196650921</v>
          </cell>
          <cell r="L190">
            <v>0.3193738843883015</v>
          </cell>
          <cell r="M190">
            <v>0.29354958524204533</v>
          </cell>
        </row>
        <row r="191">
          <cell r="F191">
            <v>25</v>
          </cell>
          <cell r="G191" t="str">
            <v>Schenectady</v>
          </cell>
          <cell r="H191">
            <v>0.32534174553101997</v>
          </cell>
          <cell r="I191">
            <v>0.33711176603944681</v>
          </cell>
          <cell r="J191">
            <v>0.30707579574078314</v>
          </cell>
          <cell r="K191">
            <v>0.31112028058592944</v>
          </cell>
          <cell r="L191">
            <v>0.29666730880369868</v>
          </cell>
          <cell r="M191">
            <v>0.28230709275136401</v>
          </cell>
        </row>
        <row r="192">
          <cell r="F192">
            <v>26</v>
          </cell>
          <cell r="G192" t="str">
            <v>Suffolk</v>
          </cell>
          <cell r="H192">
            <v>0.32219074598677999</v>
          </cell>
          <cell r="I192">
            <v>0.31195388627110116</v>
          </cell>
          <cell r="J192">
            <v>0.28340575774035848</v>
          </cell>
          <cell r="K192">
            <v>0.27339880072999045</v>
          </cell>
          <cell r="L192">
            <v>0.26279107243574251</v>
          </cell>
          <cell r="M192">
            <v>0.25397657097945281</v>
          </cell>
        </row>
        <row r="193">
          <cell r="F193">
            <v>27</v>
          </cell>
          <cell r="G193" t="str">
            <v>Sullivan</v>
          </cell>
          <cell r="H193">
            <v>0.26425178147268408</v>
          </cell>
          <cell r="I193">
            <v>0.23620582765034098</v>
          </cell>
          <cell r="J193">
            <v>0.22656734947237742</v>
          </cell>
          <cell r="K193">
            <v>0.22505938242280285</v>
          </cell>
          <cell r="L193">
            <v>0.23919308357348704</v>
          </cell>
          <cell r="M193">
            <v>0.24757004002287022</v>
          </cell>
        </row>
        <row r="194">
          <cell r="F194">
            <v>28</v>
          </cell>
          <cell r="G194" t="str">
            <v>Tompkins-Cortland</v>
          </cell>
          <cell r="H194">
            <v>0.350346565847511</v>
          </cell>
          <cell r="I194">
            <v>0.33000997008973082</v>
          </cell>
          <cell r="J194">
            <v>0.29225023342670403</v>
          </cell>
          <cell r="K194">
            <v>0.27806668706026305</v>
          </cell>
          <cell r="L194">
            <v>0.29170045958367125</v>
          </cell>
          <cell r="M194">
            <v>0.20497007074188281</v>
          </cell>
        </row>
        <row r="195">
          <cell r="F195">
            <v>29</v>
          </cell>
          <cell r="G195" t="str">
            <v>Ulster</v>
          </cell>
          <cell r="H195">
            <v>0.31040950296967801</v>
          </cell>
          <cell r="I195">
            <v>0.25500910746812389</v>
          </cell>
          <cell r="J195">
            <v>0.24439053972104305</v>
          </cell>
          <cell r="K195">
            <v>0.26649501126488573</v>
          </cell>
          <cell r="L195">
            <v>0.23491257755217146</v>
          </cell>
          <cell r="M195">
            <v>0.2520347259902333</v>
          </cell>
        </row>
        <row r="196">
          <cell r="F196">
            <v>30</v>
          </cell>
          <cell r="G196" t="str">
            <v>Westchester</v>
          </cell>
          <cell r="H196">
            <v>0.3943272224143895</v>
          </cell>
          <cell r="I196">
            <v>0.39010277226012607</v>
          </cell>
          <cell r="J196">
            <v>0.36933653607222727</v>
          </cell>
          <cell r="K196">
            <v>0.36771584872750335</v>
          </cell>
          <cell r="L196">
            <v>0.34742348201032019</v>
          </cell>
          <cell r="M196">
            <v>0.34873677391492119</v>
          </cell>
        </row>
        <row r="230">
          <cell r="F230">
            <v>0</v>
          </cell>
          <cell r="G230" t="str">
            <v>Community Colleges</v>
          </cell>
          <cell r="H230">
            <v>0.24733063883694276</v>
          </cell>
          <cell r="I230">
            <v>0.24381843129567921</v>
          </cell>
          <cell r="J230">
            <v>0.23696296095002581</v>
          </cell>
          <cell r="K230">
            <v>0.22827273719838409</v>
          </cell>
          <cell r="L230">
            <v>0.22013742071881606</v>
          </cell>
          <cell r="M230">
            <v>0.21962930712775222</v>
          </cell>
        </row>
        <row r="231">
          <cell r="F231">
            <v>1</v>
          </cell>
          <cell r="G231" t="str">
            <v xml:space="preserve">Adirondack </v>
          </cell>
          <cell r="H231">
            <v>0.2190332326283988</v>
          </cell>
          <cell r="I231">
            <v>0.27403156384505023</v>
          </cell>
          <cell r="J231">
            <v>0.23378582202111614</v>
          </cell>
          <cell r="K231">
            <v>0.19303338171262699</v>
          </cell>
          <cell r="L231">
            <v>0.20604395604395603</v>
          </cell>
          <cell r="M231">
            <v>0.18528995756718528</v>
          </cell>
        </row>
        <row r="232">
          <cell r="F232">
            <v>2</v>
          </cell>
          <cell r="G232" t="str">
            <v xml:space="preserve">Broome </v>
          </cell>
          <cell r="H232">
            <v>0.26090225563909775</v>
          </cell>
          <cell r="I232">
            <v>0.30397967823878069</v>
          </cell>
          <cell r="J232">
            <v>0.28769230769230769</v>
          </cell>
          <cell r="K232">
            <v>0.26080125687352712</v>
          </cell>
          <cell r="L232">
            <v>0.27392996108949419</v>
          </cell>
          <cell r="M232">
            <v>0.26299924642049738</v>
          </cell>
        </row>
        <row r="233">
          <cell r="F233">
            <v>3</v>
          </cell>
          <cell r="G233" t="str">
            <v>Cayuga</v>
          </cell>
          <cell r="H233">
            <v>0.31156716417910446</v>
          </cell>
          <cell r="I233">
            <v>0.29682997118155618</v>
          </cell>
          <cell r="J233">
            <v>0.26655348047538202</v>
          </cell>
          <cell r="K233">
            <v>0.22770398481973433</v>
          </cell>
          <cell r="L233">
            <v>0.18786692759295498</v>
          </cell>
          <cell r="M233">
            <v>0.22199170124481327</v>
          </cell>
        </row>
        <row r="234">
          <cell r="F234">
            <v>4</v>
          </cell>
          <cell r="G234" t="str">
            <v>Clinton</v>
          </cell>
          <cell r="H234">
            <v>0.27976190476190477</v>
          </cell>
          <cell r="I234">
            <v>0.23976608187134502</v>
          </cell>
          <cell r="J234">
            <v>0.23273657289002558</v>
          </cell>
          <cell r="K234">
            <v>0.234375</v>
          </cell>
          <cell r="L234">
            <v>0.25135135135135134</v>
          </cell>
          <cell r="M234">
            <v>0.24791086350974931</v>
          </cell>
        </row>
        <row r="235">
          <cell r="F235">
            <v>5</v>
          </cell>
          <cell r="G235" t="str">
            <v xml:space="preserve">Columbia-Greene </v>
          </cell>
          <cell r="H235">
            <v>0.32093023255813952</v>
          </cell>
          <cell r="I235">
            <v>0.35222672064777327</v>
          </cell>
          <cell r="J235">
            <v>0.34615384615384615</v>
          </cell>
          <cell r="K235">
            <v>0.42592592592592593</v>
          </cell>
          <cell r="L235">
            <v>0.36764705882352944</v>
          </cell>
          <cell r="M235">
            <v>0.31899641577060933</v>
          </cell>
        </row>
        <row r="236">
          <cell r="F236">
            <v>6</v>
          </cell>
          <cell r="G236" t="str">
            <v xml:space="preserve">Corning </v>
          </cell>
          <cell r="H236">
            <v>0.23565891472868217</v>
          </cell>
          <cell r="I236">
            <v>0.28944099378881988</v>
          </cell>
          <cell r="J236">
            <v>0.27966101694915252</v>
          </cell>
          <cell r="K236">
            <v>0.2558659217877095</v>
          </cell>
          <cell r="L236">
            <v>0.25742574257425743</v>
          </cell>
          <cell r="M236">
            <v>0.23596792668957617</v>
          </cell>
        </row>
        <row r="237">
          <cell r="F237">
            <v>7</v>
          </cell>
          <cell r="G237" t="str">
            <v xml:space="preserve">Dutchess </v>
          </cell>
          <cell r="H237">
            <v>0.21276595744680851</v>
          </cell>
          <cell r="I237">
            <v>0.23101777059773829</v>
          </cell>
          <cell r="J237">
            <v>0.21662468513853905</v>
          </cell>
          <cell r="K237">
            <v>0.21252059308072488</v>
          </cell>
          <cell r="L237">
            <v>0.24662402274342574</v>
          </cell>
          <cell r="M237">
            <v>0.23419827012641384</v>
          </cell>
        </row>
        <row r="238">
          <cell r="F238">
            <v>8</v>
          </cell>
          <cell r="G238" t="str">
            <v xml:space="preserve">Erie </v>
          </cell>
          <cell r="H238">
            <v>0.2308411214953271</v>
          </cell>
          <cell r="I238">
            <v>0.22397345499792617</v>
          </cell>
          <cell r="J238">
            <v>0.19103477167993296</v>
          </cell>
          <cell r="K238">
            <v>0.17787418655097614</v>
          </cell>
          <cell r="L238">
            <v>0.1846278975193168</v>
          </cell>
          <cell r="M238">
            <v>0.16932773109243698</v>
          </cell>
        </row>
        <row r="239">
          <cell r="F239">
            <v>9</v>
          </cell>
          <cell r="G239" t="str">
            <v>Fashion Institute</v>
          </cell>
          <cell r="H239">
            <v>0.4622741764080765</v>
          </cell>
          <cell r="I239">
            <v>0.49763033175355448</v>
          </cell>
          <cell r="J239">
            <v>0.55337904015670913</v>
          </cell>
          <cell r="K239">
            <v>0.58499999999999996</v>
          </cell>
          <cell r="L239">
            <v>0.57758620689655171</v>
          </cell>
          <cell r="M239">
            <v>0.626</v>
          </cell>
        </row>
        <row r="240">
          <cell r="F240">
            <v>10</v>
          </cell>
          <cell r="G240" t="str">
            <v xml:space="preserve">Finger Lakes </v>
          </cell>
          <cell r="H240">
            <v>0.33291139240506329</v>
          </cell>
          <cell r="I240">
            <v>0.33698296836982966</v>
          </cell>
          <cell r="J240">
            <v>0.2857142857142857</v>
          </cell>
          <cell r="K240">
            <v>0.32004429678848284</v>
          </cell>
          <cell r="L240">
            <v>0.31219512195121951</v>
          </cell>
          <cell r="M240">
            <v>0.30100334448160537</v>
          </cell>
        </row>
        <row r="241">
          <cell r="F241">
            <v>11</v>
          </cell>
          <cell r="G241" t="str">
            <v xml:space="preserve">Fulton-Montgomery </v>
          </cell>
          <cell r="H241">
            <v>0.29039812646370022</v>
          </cell>
          <cell r="I241">
            <v>0.29577464788732394</v>
          </cell>
          <cell r="J241">
            <v>0.26582278481012656</v>
          </cell>
          <cell r="K241">
            <v>0.25442477876106195</v>
          </cell>
          <cell r="L241">
            <v>0.27631578947368424</v>
          </cell>
          <cell r="M241">
            <v>0.29904761904761906</v>
          </cell>
        </row>
        <row r="242">
          <cell r="F242">
            <v>12</v>
          </cell>
          <cell r="G242" t="str">
            <v xml:space="preserve">Genesee </v>
          </cell>
          <cell r="H242">
            <v>0.20672268907563024</v>
          </cell>
          <cell r="I242">
            <v>0.30546265328874023</v>
          </cell>
          <cell r="J242">
            <v>0.28842105263157897</v>
          </cell>
          <cell r="K242">
            <v>0.25950054288816504</v>
          </cell>
          <cell r="L242">
            <v>0.26174496644295303</v>
          </cell>
          <cell r="M242">
            <v>0.29443838604143946</v>
          </cell>
        </row>
        <row r="243">
          <cell r="F243">
            <v>13</v>
          </cell>
          <cell r="G243" t="str">
            <v>Herkimer</v>
          </cell>
          <cell r="H243">
            <v>0.30769230769230771</v>
          </cell>
          <cell r="I243">
            <v>0.31869510664993728</v>
          </cell>
          <cell r="J243">
            <v>0.30258302583025831</v>
          </cell>
          <cell r="K243">
            <v>0.32190265486725661</v>
          </cell>
          <cell r="L243">
            <v>0.27918781725888325</v>
          </cell>
          <cell r="M243">
            <v>0.30274135876042907</v>
          </cell>
        </row>
        <row r="244">
          <cell r="F244">
            <v>14</v>
          </cell>
          <cell r="G244" t="str">
            <v xml:space="preserve">Hudson Valley </v>
          </cell>
          <cell r="H244">
            <v>0.26988155668358715</v>
          </cell>
          <cell r="I244">
            <v>0.25398121682319313</v>
          </cell>
          <cell r="J244">
            <v>0.26163021868787278</v>
          </cell>
          <cell r="K244">
            <v>0.26443768996960487</v>
          </cell>
          <cell r="L244">
            <v>0.25286867828304294</v>
          </cell>
          <cell r="M244">
            <v>0.23992322456813819</v>
          </cell>
        </row>
        <row r="245">
          <cell r="F245">
            <v>15</v>
          </cell>
          <cell r="G245" t="str">
            <v xml:space="preserve">Jamestown </v>
          </cell>
          <cell r="H245">
            <v>0.34916559691912707</v>
          </cell>
          <cell r="I245">
            <v>0.36987704918032788</v>
          </cell>
          <cell r="J245">
            <v>0.31307339449541283</v>
          </cell>
          <cell r="K245">
            <v>0.29133858267716534</v>
          </cell>
          <cell r="L245">
            <v>0.33679354094579006</v>
          </cell>
          <cell r="M245">
            <v>0.35324015247776364</v>
          </cell>
        </row>
        <row r="246">
          <cell r="F246">
            <v>16</v>
          </cell>
          <cell r="G246" t="str">
            <v xml:space="preserve">Jefferson </v>
          </cell>
          <cell r="H246">
            <v>0.33783783783783783</v>
          </cell>
          <cell r="I246">
            <v>0.28951747088186358</v>
          </cell>
          <cell r="J246">
            <v>0.2857142857142857</v>
          </cell>
          <cell r="K246">
            <v>0.27679999999999999</v>
          </cell>
          <cell r="L246">
            <v>0.26975945017182129</v>
          </cell>
          <cell r="M246">
            <v>0.25203252032520324</v>
          </cell>
        </row>
        <row r="247">
          <cell r="F247">
            <v>17</v>
          </cell>
          <cell r="G247" t="str">
            <v xml:space="preserve">Mohawk Valley </v>
          </cell>
          <cell r="H247">
            <v>0.24924242424242424</v>
          </cell>
          <cell r="I247">
            <v>0.22238805970149253</v>
          </cell>
          <cell r="J247">
            <v>0.21758569299552907</v>
          </cell>
          <cell r="K247">
            <v>0.22629969418960244</v>
          </cell>
          <cell r="L247">
            <v>0.21755162241887904</v>
          </cell>
          <cell r="M247">
            <v>0.22641509433962265</v>
          </cell>
        </row>
        <row r="248">
          <cell r="F248">
            <v>18</v>
          </cell>
          <cell r="G248" t="str">
            <v xml:space="preserve">Monroe </v>
          </cell>
          <cell r="H248">
            <v>0.28466886205634834</v>
          </cell>
          <cell r="I248">
            <v>0.25603392041748207</v>
          </cell>
          <cell r="J248">
            <v>0.25306006262453745</v>
          </cell>
          <cell r="K248">
            <v>0.21975007619628162</v>
          </cell>
          <cell r="L248">
            <v>0.22823529411764706</v>
          </cell>
          <cell r="M248">
            <v>0.22162015713898672</v>
          </cell>
        </row>
        <row r="249">
          <cell r="F249">
            <v>19</v>
          </cell>
          <cell r="G249" t="str">
            <v xml:space="preserve">Nassau </v>
          </cell>
          <cell r="H249">
            <v>0.22686788718456211</v>
          </cell>
          <cell r="I249">
            <v>0.20957498778700537</v>
          </cell>
          <cell r="J249">
            <v>0.18677649154051648</v>
          </cell>
          <cell r="K249">
            <v>0.19735943546551332</v>
          </cell>
          <cell r="L249">
            <v>0.176875</v>
          </cell>
          <cell r="M249">
            <v>0.16327369936253341</v>
          </cell>
        </row>
        <row r="250">
          <cell r="F250">
            <v>20</v>
          </cell>
          <cell r="G250" t="str">
            <v>Niagara</v>
          </cell>
          <cell r="H250">
            <v>0.3253012048192771</v>
          </cell>
          <cell r="I250">
            <v>0.27387198321091288</v>
          </cell>
          <cell r="J250">
            <v>0.27589367552703942</v>
          </cell>
          <cell r="K250">
            <v>0.2878787878787879</v>
          </cell>
          <cell r="L250">
            <v>0.29008438818565402</v>
          </cell>
          <cell r="M250">
            <v>0.28498985801217036</v>
          </cell>
        </row>
        <row r="251">
          <cell r="F251">
            <v>21</v>
          </cell>
          <cell r="G251" t="str">
            <v xml:space="preserve">North Country </v>
          </cell>
          <cell r="H251">
            <v>0.26470588235294118</v>
          </cell>
          <cell r="I251">
            <v>0.2733812949640288</v>
          </cell>
          <cell r="J251">
            <v>0.25632911392405061</v>
          </cell>
          <cell r="K251">
            <v>0.20257234726688103</v>
          </cell>
          <cell r="L251">
            <v>0.27384615384615385</v>
          </cell>
          <cell r="M251">
            <v>0.2089041095890411</v>
          </cell>
        </row>
        <row r="252">
          <cell r="F252">
            <v>22</v>
          </cell>
          <cell r="G252" t="str">
            <v xml:space="preserve">Onondaga </v>
          </cell>
          <cell r="H252">
            <v>0.21599169262720663</v>
          </cell>
          <cell r="I252">
            <v>0.1586489252814739</v>
          </cell>
          <cell r="J252">
            <v>0.16267465069860279</v>
          </cell>
          <cell r="K252">
            <v>0.17350157728706625</v>
          </cell>
          <cell r="L252">
            <v>0.15918712955122777</v>
          </cell>
          <cell r="M252">
            <v>0.16432865731462926</v>
          </cell>
        </row>
        <row r="253">
          <cell r="F253">
            <v>23</v>
          </cell>
          <cell r="G253" t="str">
            <v>Orange</v>
          </cell>
          <cell r="H253">
            <v>0.17286432160804019</v>
          </cell>
          <cell r="I253">
            <v>0.1765873015873016</v>
          </cell>
          <cell r="J253">
            <v>0.16584564860426929</v>
          </cell>
          <cell r="K253">
            <v>0.15555555555555556</v>
          </cell>
          <cell r="L253">
            <v>0.12521294718909709</v>
          </cell>
          <cell r="M253">
            <v>0.1596958174904943</v>
          </cell>
        </row>
        <row r="254">
          <cell r="F254">
            <v>24</v>
          </cell>
          <cell r="G254" t="str">
            <v xml:space="preserve">Rockland </v>
          </cell>
          <cell r="H254">
            <v>0.18054256314312442</v>
          </cell>
          <cell r="I254">
            <v>0.21693121693121692</v>
          </cell>
          <cell r="J254">
            <v>0.19302949061662197</v>
          </cell>
          <cell r="K254">
            <v>0.1782006920415225</v>
          </cell>
          <cell r="L254">
            <v>0.15356820234869015</v>
          </cell>
          <cell r="M254">
            <v>0.21922160444797459</v>
          </cell>
        </row>
        <row r="255">
          <cell r="F255">
            <v>25</v>
          </cell>
          <cell r="G255" t="str">
            <v>Schenectady</v>
          </cell>
          <cell r="H255">
            <v>0.20099255583126552</v>
          </cell>
          <cell r="I255">
            <v>0.21563981042654029</v>
          </cell>
          <cell r="J255">
            <v>0.24938875305623473</v>
          </cell>
          <cell r="K255">
            <v>0.19621749408983452</v>
          </cell>
          <cell r="L255">
            <v>0.20581113801452786</v>
          </cell>
          <cell r="M255">
            <v>0.19101123595505617</v>
          </cell>
        </row>
        <row r="256">
          <cell r="F256">
            <v>26</v>
          </cell>
          <cell r="G256" t="str">
            <v>Suffolk</v>
          </cell>
          <cell r="H256">
            <v>0.20797636632200886</v>
          </cell>
          <cell r="I256">
            <v>0.18898488120950324</v>
          </cell>
          <cell r="J256">
            <v>0.19067215363511661</v>
          </cell>
          <cell r="K256">
            <v>0.19653029518384257</v>
          </cell>
          <cell r="L256">
            <v>0.16298478154148258</v>
          </cell>
          <cell r="M256">
            <v>0.15901142457449288</v>
          </cell>
        </row>
        <row r="257">
          <cell r="F257">
            <v>27</v>
          </cell>
          <cell r="G257" t="str">
            <v>Sullivan</v>
          </cell>
          <cell r="H257">
            <v>0.16355140186915887</v>
          </cell>
          <cell r="I257">
            <v>0.16869918699186992</v>
          </cell>
          <cell r="J257">
            <v>0.21939953810623555</v>
          </cell>
          <cell r="K257">
            <v>0.16956521739130434</v>
          </cell>
          <cell r="L257">
            <v>0.14871794871794872</v>
          </cell>
          <cell r="M257">
            <v>0.13</v>
          </cell>
        </row>
        <row r="258">
          <cell r="F258">
            <v>28</v>
          </cell>
          <cell r="G258" t="str">
            <v xml:space="preserve">Tompkins-Cortland </v>
          </cell>
          <cell r="H258">
            <v>0.21404109589041095</v>
          </cell>
          <cell r="I258">
            <v>0.18513513513513513</v>
          </cell>
          <cell r="J258">
            <v>0.23680456490727533</v>
          </cell>
          <cell r="K258">
            <v>0.20144927536231885</v>
          </cell>
          <cell r="L258">
            <v>0.1859799713876967</v>
          </cell>
          <cell r="M258">
            <v>0.23357664233576642</v>
          </cell>
        </row>
        <row r="259">
          <cell r="F259">
            <v>29</v>
          </cell>
          <cell r="G259" t="str">
            <v>Ulster</v>
          </cell>
          <cell r="H259">
            <v>0.21218961625282168</v>
          </cell>
          <cell r="I259">
            <v>0.2530612244897959</v>
          </cell>
          <cell r="J259">
            <v>0.23478260869565218</v>
          </cell>
          <cell r="K259">
            <v>0.18937644341801385</v>
          </cell>
          <cell r="L259">
            <v>0.2392857142857143</v>
          </cell>
          <cell r="M259">
            <v>0.27169811320754716</v>
          </cell>
        </row>
        <row r="260">
          <cell r="F260">
            <v>30</v>
          </cell>
          <cell r="G260" t="str">
            <v xml:space="preserve">Westchester </v>
          </cell>
          <cell r="H260">
            <v>0.12391158740790355</v>
          </cell>
          <cell r="I260">
            <v>0.14060529634300126</v>
          </cell>
          <cell r="J260">
            <v>0.13833028641072517</v>
          </cell>
          <cell r="K260">
            <v>0.10768261964735516</v>
          </cell>
          <cell r="L260">
            <v>0.11436950146627566</v>
          </cell>
          <cell r="M260">
            <v>0.10228401191658391</v>
          </cell>
        </row>
        <row r="262">
          <cell r="F262">
            <v>0</v>
          </cell>
          <cell r="G262" t="str">
            <v>Community Colleges</v>
          </cell>
          <cell r="H262">
            <v>0.33311214333112144</v>
          </cell>
          <cell r="I262">
            <v>0.33782307972333453</v>
          </cell>
          <cell r="J262">
            <v>0.3278466985594205</v>
          </cell>
          <cell r="K262">
            <v>0.34149470466208104</v>
          </cell>
          <cell r="L262" t="str">
            <v>N/A</v>
          </cell>
          <cell r="M262" t="str">
            <v>N/A</v>
          </cell>
        </row>
        <row r="263">
          <cell r="F263">
            <v>1</v>
          </cell>
          <cell r="G263" t="str">
            <v xml:space="preserve">Adirondack </v>
          </cell>
          <cell r="H263">
            <v>0.31117824773413899</v>
          </cell>
          <cell r="I263">
            <v>0.38163558106169299</v>
          </cell>
          <cell r="J263">
            <v>0.31674208144796379</v>
          </cell>
          <cell r="K263">
            <v>0.32220609579100146</v>
          </cell>
          <cell r="L263" t="str">
            <v>N/A</v>
          </cell>
          <cell r="M263" t="str">
            <v>N/A</v>
          </cell>
        </row>
        <row r="264">
          <cell r="F264">
            <v>2</v>
          </cell>
          <cell r="G264" t="str">
            <v xml:space="preserve">Broome </v>
          </cell>
          <cell r="H264">
            <v>0.33909774436090223</v>
          </cell>
          <cell r="I264">
            <v>0.34970364098221846</v>
          </cell>
          <cell r="J264">
            <v>0.32769230769230767</v>
          </cell>
          <cell r="K264">
            <v>0.29300864100549884</v>
          </cell>
          <cell r="L264" t="str">
            <v>N/A</v>
          </cell>
          <cell r="M264" t="str">
            <v>N/A</v>
          </cell>
        </row>
        <row r="265">
          <cell r="F265">
            <v>3</v>
          </cell>
          <cell r="G265" t="str">
            <v>Cayuga</v>
          </cell>
          <cell r="H265">
            <v>0.29291044776119401</v>
          </cell>
          <cell r="I265">
            <v>0.29971181556195964</v>
          </cell>
          <cell r="J265">
            <v>0.3140916808149406</v>
          </cell>
          <cell r="K265">
            <v>0.32258064516129031</v>
          </cell>
          <cell r="L265" t="str">
            <v>N/A</v>
          </cell>
          <cell r="M265" t="str">
            <v>N/A</v>
          </cell>
        </row>
        <row r="266">
          <cell r="F266">
            <v>4</v>
          </cell>
          <cell r="G266" t="str">
            <v>Clinton</v>
          </cell>
          <cell r="H266">
            <v>0.33333333333333331</v>
          </cell>
          <cell r="I266">
            <v>0.32163742690058478</v>
          </cell>
          <cell r="J266">
            <v>0.39130434782608697</v>
          </cell>
          <cell r="K266">
            <v>0.32291666666666669</v>
          </cell>
          <cell r="L266" t="str">
            <v>N/A</v>
          </cell>
          <cell r="M266" t="str">
            <v>N/A</v>
          </cell>
        </row>
        <row r="267">
          <cell r="F267">
            <v>5</v>
          </cell>
          <cell r="G267" t="str">
            <v xml:space="preserve">Columbia-Greene </v>
          </cell>
          <cell r="H267">
            <v>0.35813953488372091</v>
          </cell>
          <cell r="I267">
            <v>0.37246963562753038</v>
          </cell>
          <cell r="J267">
            <v>0.40598290598290598</v>
          </cell>
          <cell r="K267">
            <v>0.45185185185185184</v>
          </cell>
          <cell r="L267" t="str">
            <v>N/A</v>
          </cell>
          <cell r="M267" t="str">
            <v>N/A</v>
          </cell>
        </row>
        <row r="268">
          <cell r="F268">
            <v>6</v>
          </cell>
          <cell r="G268" t="str">
            <v xml:space="preserve">Corning </v>
          </cell>
          <cell r="H268">
            <v>0.13333333333333333</v>
          </cell>
          <cell r="I268">
            <v>0.12919254658385093</v>
          </cell>
          <cell r="J268">
            <v>0.15496368038740921</v>
          </cell>
          <cell r="K268">
            <v>0.28268156424581004</v>
          </cell>
          <cell r="L268" t="str">
            <v>N/A</v>
          </cell>
          <cell r="M268" t="str">
            <v>N/A</v>
          </cell>
        </row>
        <row r="269">
          <cell r="F269">
            <v>7</v>
          </cell>
          <cell r="G269" t="str">
            <v xml:space="preserve">Dutchess </v>
          </cell>
          <cell r="H269">
            <v>0.31489361702127661</v>
          </cell>
          <cell r="I269">
            <v>0.3667205169628433</v>
          </cell>
          <cell r="J269">
            <v>0.33753148614609574</v>
          </cell>
          <cell r="K269">
            <v>0.36655683690280066</v>
          </cell>
          <cell r="L269" t="str">
            <v>N/A</v>
          </cell>
          <cell r="M269" t="str">
            <v>N/A</v>
          </cell>
        </row>
        <row r="270">
          <cell r="F270">
            <v>8</v>
          </cell>
          <cell r="G270" t="str">
            <v xml:space="preserve">Erie </v>
          </cell>
          <cell r="H270">
            <v>0.20373831775700935</v>
          </cell>
          <cell r="I270">
            <v>0.31729572791372873</v>
          </cell>
          <cell r="J270">
            <v>0.28906577293674068</v>
          </cell>
          <cell r="K270">
            <v>0.29804772234273319</v>
          </cell>
          <cell r="L270" t="str">
            <v>N/A</v>
          </cell>
          <cell r="M270" t="str">
            <v>N/A</v>
          </cell>
        </row>
        <row r="271">
          <cell r="F271">
            <v>9</v>
          </cell>
          <cell r="G271" t="str">
            <v>Fashion Institute</v>
          </cell>
          <cell r="H271">
            <v>0.22741764080765142</v>
          </cell>
          <cell r="I271">
            <v>0.21445497630331753</v>
          </cell>
          <cell r="J271">
            <v>0.20666013712047013</v>
          </cell>
          <cell r="K271">
            <v>0.221</v>
          </cell>
          <cell r="L271" t="str">
            <v>N/A</v>
          </cell>
          <cell r="M271" t="str">
            <v>N/A</v>
          </cell>
        </row>
        <row r="272">
          <cell r="F272">
            <v>10</v>
          </cell>
          <cell r="G272" t="str">
            <v xml:space="preserve">Finger Lakes </v>
          </cell>
          <cell r="H272">
            <v>0.35822784810126584</v>
          </cell>
          <cell r="I272">
            <v>0.35644768856447689</v>
          </cell>
          <cell r="J272">
            <v>0.32552693208430911</v>
          </cell>
          <cell r="K272">
            <v>0.37541528239202659</v>
          </cell>
          <cell r="L272" t="str">
            <v>N/A</v>
          </cell>
          <cell r="M272" t="str">
            <v>N/A</v>
          </cell>
        </row>
        <row r="273">
          <cell r="F273">
            <v>11</v>
          </cell>
          <cell r="G273" t="str">
            <v xml:space="preserve">Fulton-Montgomery </v>
          </cell>
          <cell r="H273">
            <v>0.37704918032786883</v>
          </cell>
          <cell r="I273">
            <v>0.35446009389671362</v>
          </cell>
          <cell r="J273">
            <v>0.3468354430379747</v>
          </cell>
          <cell r="K273">
            <v>0.32964601769911506</v>
          </cell>
          <cell r="L273" t="str">
            <v>N/A</v>
          </cell>
          <cell r="M273" t="str">
            <v>N/A</v>
          </cell>
        </row>
        <row r="274">
          <cell r="F274">
            <v>12</v>
          </cell>
          <cell r="G274" t="str">
            <v xml:space="preserve">Genesee </v>
          </cell>
          <cell r="H274">
            <v>0.33613445378151263</v>
          </cell>
          <cell r="I274">
            <v>0.34002229654403565</v>
          </cell>
          <cell r="J274">
            <v>0.35894736842105263</v>
          </cell>
          <cell r="K274">
            <v>0.37893593919652552</v>
          </cell>
          <cell r="L274" t="str">
            <v>N/A</v>
          </cell>
          <cell r="M274" t="str">
            <v>N/A</v>
          </cell>
        </row>
        <row r="275">
          <cell r="F275">
            <v>13</v>
          </cell>
          <cell r="G275" t="str">
            <v>Herkimer</v>
          </cell>
          <cell r="H275">
            <v>0.48107448107448109</v>
          </cell>
          <cell r="I275">
            <v>0.50062735257214552</v>
          </cell>
          <cell r="J275">
            <v>0.46371463714637146</v>
          </cell>
          <cell r="K275">
            <v>0.51991150442477874</v>
          </cell>
          <cell r="L275" t="str">
            <v>N/A</v>
          </cell>
          <cell r="M275" t="str">
            <v>N/A</v>
          </cell>
        </row>
        <row r="276">
          <cell r="F276">
            <v>14</v>
          </cell>
          <cell r="G276" t="str">
            <v xml:space="preserve">Hudson Valley </v>
          </cell>
          <cell r="H276">
            <v>0.37732656514382401</v>
          </cell>
          <cell r="I276">
            <v>0.3813801551653736</v>
          </cell>
          <cell r="J276">
            <v>0.38528827037773361</v>
          </cell>
          <cell r="K276">
            <v>0.36908380373425964</v>
          </cell>
          <cell r="L276" t="str">
            <v>N/A</v>
          </cell>
          <cell r="M276" t="str">
            <v>N/A</v>
          </cell>
        </row>
        <row r="277">
          <cell r="F277">
            <v>15</v>
          </cell>
          <cell r="G277" t="str">
            <v xml:space="preserve">Jamestown </v>
          </cell>
          <cell r="H277">
            <v>0.3645699614890886</v>
          </cell>
          <cell r="I277">
            <v>0.38934426229508196</v>
          </cell>
          <cell r="J277">
            <v>0.3577981651376147</v>
          </cell>
          <cell r="K277">
            <v>0.37345331833520812</v>
          </cell>
          <cell r="L277" t="str">
            <v>N/A</v>
          </cell>
          <cell r="M277" t="str">
            <v>N/A</v>
          </cell>
        </row>
        <row r="278">
          <cell r="F278">
            <v>16</v>
          </cell>
          <cell r="G278" t="str">
            <v xml:space="preserve">Jefferson </v>
          </cell>
          <cell r="H278">
            <v>0.36486486486486486</v>
          </cell>
          <cell r="I278">
            <v>0.36106489184692181</v>
          </cell>
          <cell r="J278">
            <v>0.31980519480519481</v>
          </cell>
          <cell r="K278">
            <v>0.3664</v>
          </cell>
          <cell r="L278" t="str">
            <v>N/A</v>
          </cell>
          <cell r="M278" t="str">
            <v>N/A</v>
          </cell>
        </row>
        <row r="279">
          <cell r="F279">
            <v>17</v>
          </cell>
          <cell r="G279" t="str">
            <v xml:space="preserve">Mohawk Valley </v>
          </cell>
          <cell r="H279">
            <v>0.375</v>
          </cell>
          <cell r="I279">
            <v>0.33507462686567163</v>
          </cell>
          <cell r="J279">
            <v>0.34575260804769004</v>
          </cell>
          <cell r="K279">
            <v>0.3830275229357798</v>
          </cell>
          <cell r="L279" t="str">
            <v>N/A</v>
          </cell>
          <cell r="M279" t="str">
            <v>N/A</v>
          </cell>
        </row>
        <row r="280">
          <cell r="F280">
            <v>18</v>
          </cell>
          <cell r="G280" t="str">
            <v xml:space="preserve">Monroe </v>
          </cell>
          <cell r="H280">
            <v>0.34065129893889501</v>
          </cell>
          <cell r="I280">
            <v>0.33920417482061316</v>
          </cell>
          <cell r="J280">
            <v>0.34301167093652152</v>
          </cell>
          <cell r="K280">
            <v>0.32733922584577874</v>
          </cell>
          <cell r="L280" t="str">
            <v>N/A</v>
          </cell>
          <cell r="M280" t="str">
            <v>N/A</v>
          </cell>
        </row>
        <row r="281">
          <cell r="F281">
            <v>19</v>
          </cell>
          <cell r="G281" t="str">
            <v xml:space="preserve">Nassau </v>
          </cell>
          <cell r="H281">
            <v>0.40969816922315683</v>
          </cell>
          <cell r="I281">
            <v>0.37884709330727895</v>
          </cell>
          <cell r="J281">
            <v>0.34572573463935885</v>
          </cell>
          <cell r="K281">
            <v>0.38493057136353287</v>
          </cell>
          <cell r="L281" t="str">
            <v>N/A</v>
          </cell>
          <cell r="M281" t="str">
            <v>N/A</v>
          </cell>
        </row>
        <row r="282">
          <cell r="F282">
            <v>20</v>
          </cell>
          <cell r="G282" t="str">
            <v>Niagara</v>
          </cell>
          <cell r="H282">
            <v>0.33734939759036142</v>
          </cell>
          <cell r="I282">
            <v>0.31374606505771246</v>
          </cell>
          <cell r="J282">
            <v>0.35288725939505039</v>
          </cell>
          <cell r="K282">
            <v>0.34659090909090912</v>
          </cell>
          <cell r="L282" t="str">
            <v>N/A</v>
          </cell>
          <cell r="M282" t="str">
            <v>N/A</v>
          </cell>
        </row>
        <row r="283">
          <cell r="F283">
            <v>21</v>
          </cell>
          <cell r="G283" t="str">
            <v xml:space="preserve">North Country </v>
          </cell>
          <cell r="H283">
            <v>0.28676470588235292</v>
          </cell>
          <cell r="I283">
            <v>0.28417266187050361</v>
          </cell>
          <cell r="J283">
            <v>0.28164556962025317</v>
          </cell>
          <cell r="K283">
            <v>0.29903536977491962</v>
          </cell>
          <cell r="L283" t="str">
            <v>N/A</v>
          </cell>
          <cell r="M283" t="str">
            <v>N/A</v>
          </cell>
        </row>
        <row r="284">
          <cell r="F284">
            <v>22</v>
          </cell>
          <cell r="G284" t="str">
            <v xml:space="preserve">Onondaga </v>
          </cell>
          <cell r="H284">
            <v>0.32814122533748702</v>
          </cell>
          <cell r="I284">
            <v>0.27635619242579323</v>
          </cell>
          <cell r="J284">
            <v>0.26946107784431139</v>
          </cell>
          <cell r="K284">
            <v>0.30073606729758151</v>
          </cell>
          <cell r="L284" t="str">
            <v>N/A</v>
          </cell>
          <cell r="M284" t="str">
            <v>N/A</v>
          </cell>
        </row>
        <row r="285">
          <cell r="F285">
            <v>23</v>
          </cell>
          <cell r="G285" t="str">
            <v>Orange</v>
          </cell>
          <cell r="H285">
            <v>0.28140703517587939</v>
          </cell>
          <cell r="I285">
            <v>0.28075396825396826</v>
          </cell>
          <cell r="J285">
            <v>0.27422003284072249</v>
          </cell>
          <cell r="K285">
            <v>0.2811965811965812</v>
          </cell>
          <cell r="L285" t="str">
            <v>N/A</v>
          </cell>
          <cell r="M285" t="str">
            <v>N/A</v>
          </cell>
        </row>
        <row r="286">
          <cell r="F286">
            <v>24</v>
          </cell>
          <cell r="G286" t="str">
            <v xml:space="preserve">Rockland </v>
          </cell>
          <cell r="H286">
            <v>0.35827876520112256</v>
          </cell>
          <cell r="I286">
            <v>0.37566137566137564</v>
          </cell>
          <cell r="J286">
            <v>0.40035746201966044</v>
          </cell>
          <cell r="K286">
            <v>0.33564013840830448</v>
          </cell>
          <cell r="L286" t="str">
            <v>N/A</v>
          </cell>
          <cell r="M286" t="str">
            <v>N/A</v>
          </cell>
        </row>
        <row r="287">
          <cell r="F287">
            <v>25</v>
          </cell>
          <cell r="G287" t="str">
            <v>Schenectady</v>
          </cell>
          <cell r="H287">
            <v>0.27543424317617865</v>
          </cell>
          <cell r="I287">
            <v>0.31753554502369669</v>
          </cell>
          <cell r="J287">
            <v>0.30806845965770169</v>
          </cell>
          <cell r="K287">
            <v>0.27895981087470451</v>
          </cell>
          <cell r="L287" t="str">
            <v>N/A</v>
          </cell>
          <cell r="M287" t="str">
            <v>N/A</v>
          </cell>
        </row>
        <row r="288">
          <cell r="F288">
            <v>26</v>
          </cell>
          <cell r="G288" t="str">
            <v>Suffolk</v>
          </cell>
          <cell r="H288">
            <v>0.30960118168389955</v>
          </cell>
          <cell r="I288">
            <v>0.29562634989200864</v>
          </cell>
          <cell r="J288">
            <v>0.2814814814814815</v>
          </cell>
          <cell r="K288">
            <v>0.31356809943034697</v>
          </cell>
          <cell r="L288" t="str">
            <v>N/A</v>
          </cell>
          <cell r="M288" t="str">
            <v>N/A</v>
          </cell>
        </row>
        <row r="289">
          <cell r="F289">
            <v>27</v>
          </cell>
          <cell r="G289" t="str">
            <v>Sullivan</v>
          </cell>
          <cell r="H289">
            <v>0.39719626168224298</v>
          </cell>
          <cell r="I289">
            <v>0.47764227642276424</v>
          </cell>
          <cell r="J289">
            <v>0.5080831408775982</v>
          </cell>
          <cell r="K289">
            <v>0.45434782608695651</v>
          </cell>
          <cell r="L289" t="str">
            <v>N/A</v>
          </cell>
          <cell r="M289" t="str">
            <v>N/A</v>
          </cell>
        </row>
        <row r="290">
          <cell r="F290">
            <v>28</v>
          </cell>
          <cell r="G290" t="str">
            <v xml:space="preserve">Tompkins-Cortland </v>
          </cell>
          <cell r="H290">
            <v>0.35102739726027399</v>
          </cell>
          <cell r="I290">
            <v>0.35675675675675678</v>
          </cell>
          <cell r="J290">
            <v>0.38801711840228248</v>
          </cell>
          <cell r="K290">
            <v>0.37971014492753624</v>
          </cell>
          <cell r="L290" t="str">
            <v>N/A</v>
          </cell>
          <cell r="M290" t="str">
            <v>N/A</v>
          </cell>
        </row>
        <row r="291">
          <cell r="F291">
            <v>29</v>
          </cell>
          <cell r="G291" t="str">
            <v>Ulster</v>
          </cell>
          <cell r="H291">
            <v>0.30022573363431149</v>
          </cell>
          <cell r="I291">
            <v>0.36122448979591837</v>
          </cell>
          <cell r="J291">
            <v>0.28260869565217389</v>
          </cell>
          <cell r="K291">
            <v>0.38106235565819863</v>
          </cell>
          <cell r="L291" t="str">
            <v>N/A</v>
          </cell>
          <cell r="M291" t="str">
            <v>N/A</v>
          </cell>
        </row>
        <row r="292">
          <cell r="F292">
            <v>30</v>
          </cell>
          <cell r="G292" t="str">
            <v xml:space="preserve">Westchester </v>
          </cell>
          <cell r="H292">
            <v>0.31145344943067649</v>
          </cell>
          <cell r="I292">
            <v>0.30895334174022698</v>
          </cell>
          <cell r="J292">
            <v>0.30286410725167578</v>
          </cell>
          <cell r="K292">
            <v>0.30415617128463474</v>
          </cell>
          <cell r="L292" t="str">
            <v>N/A</v>
          </cell>
          <cell r="M292" t="str">
            <v>N/A</v>
          </cell>
        </row>
        <row r="294">
          <cell r="F294">
            <v>0</v>
          </cell>
          <cell r="G294" t="str">
            <v>Community Colleges</v>
          </cell>
          <cell r="H294">
            <v>0.18157688363395066</v>
          </cell>
          <cell r="I294">
            <v>0.18638514743356388</v>
          </cell>
          <cell r="J294">
            <v>0.18014000378388606</v>
          </cell>
          <cell r="K294">
            <v>0.17763948029260837</v>
          </cell>
          <cell r="L294" t="str">
            <v>N/A</v>
          </cell>
          <cell r="M294" t="str">
            <v>N/A</v>
          </cell>
        </row>
        <row r="295">
          <cell r="F295">
            <v>1</v>
          </cell>
          <cell r="G295" t="str">
            <v xml:space="preserve">Adirondack </v>
          </cell>
          <cell r="H295">
            <v>0.19335347432024169</v>
          </cell>
          <cell r="I295">
            <v>0.26111908177905307</v>
          </cell>
          <cell r="J295">
            <v>0.19607843137254902</v>
          </cell>
          <cell r="K295">
            <v>0.20319303338171263</v>
          </cell>
          <cell r="L295" t="str">
            <v>N/A</v>
          </cell>
          <cell r="M295" t="str">
            <v>N/A</v>
          </cell>
        </row>
        <row r="296">
          <cell r="F296">
            <v>2</v>
          </cell>
          <cell r="G296" t="str">
            <v xml:space="preserve">Broome </v>
          </cell>
          <cell r="H296">
            <v>0.24135338345864663</v>
          </cell>
          <cell r="I296">
            <v>0.26164267569856053</v>
          </cell>
          <cell r="J296">
            <v>0.22846153846153847</v>
          </cell>
          <cell r="K296">
            <v>0.20267085624509035</v>
          </cell>
          <cell r="L296" t="str">
            <v>N/A</v>
          </cell>
          <cell r="M296" t="str">
            <v>N/A</v>
          </cell>
        </row>
        <row r="297">
          <cell r="F297">
            <v>3</v>
          </cell>
          <cell r="G297" t="str">
            <v>Cayuga</v>
          </cell>
          <cell r="H297">
            <v>0.21268656716417911</v>
          </cell>
          <cell r="I297">
            <v>0.22622478386167147</v>
          </cell>
          <cell r="J297">
            <v>0.22410865874363328</v>
          </cell>
          <cell r="K297">
            <v>0.24478178368121442</v>
          </cell>
          <cell r="L297" t="str">
            <v>N/A</v>
          </cell>
          <cell r="M297" t="str">
            <v>N/A</v>
          </cell>
        </row>
        <row r="298">
          <cell r="F298">
            <v>4</v>
          </cell>
          <cell r="G298" t="str">
            <v>Clinton</v>
          </cell>
          <cell r="H298">
            <v>0.27083333333333331</v>
          </cell>
          <cell r="I298">
            <v>0.26900584795321636</v>
          </cell>
          <cell r="J298">
            <v>0.31202046035805625</v>
          </cell>
          <cell r="K298">
            <v>0.26302083333333331</v>
          </cell>
          <cell r="L298" t="str">
            <v>N/A</v>
          </cell>
          <cell r="M298" t="str">
            <v>N/A</v>
          </cell>
        </row>
        <row r="299">
          <cell r="F299">
            <v>5</v>
          </cell>
          <cell r="G299" t="str">
            <v xml:space="preserve">Columbia-Greene </v>
          </cell>
          <cell r="H299">
            <v>0.25116279069767444</v>
          </cell>
          <cell r="I299">
            <v>0.23076923076923078</v>
          </cell>
          <cell r="J299">
            <v>0.28205128205128205</v>
          </cell>
          <cell r="K299">
            <v>0.32962962962962961</v>
          </cell>
          <cell r="L299" t="str">
            <v>N/A</v>
          </cell>
          <cell r="M299" t="str">
            <v>N/A</v>
          </cell>
        </row>
        <row r="300">
          <cell r="F300">
            <v>6</v>
          </cell>
          <cell r="G300" t="str">
            <v xml:space="preserve">Corning </v>
          </cell>
          <cell r="H300">
            <v>0.13333333333333333</v>
          </cell>
          <cell r="I300">
            <v>0.12919254658385093</v>
          </cell>
          <cell r="J300">
            <v>0.15496368038740921</v>
          </cell>
          <cell r="K300">
            <v>0.12290502793296089</v>
          </cell>
          <cell r="L300" t="str">
            <v>N/A</v>
          </cell>
          <cell r="M300" t="str">
            <v>N/A</v>
          </cell>
        </row>
        <row r="301">
          <cell r="F301">
            <v>7</v>
          </cell>
          <cell r="G301" t="str">
            <v xml:space="preserve">Dutchess </v>
          </cell>
          <cell r="H301">
            <v>0.1702127659574468</v>
          </cell>
          <cell r="I301">
            <v>0.18982229402261713</v>
          </cell>
          <cell r="J301">
            <v>0.17800167926112512</v>
          </cell>
          <cell r="K301">
            <v>0.1927512355848435</v>
          </cell>
          <cell r="L301" t="str">
            <v>N/A</v>
          </cell>
          <cell r="M301" t="str">
            <v>N/A</v>
          </cell>
        </row>
        <row r="302">
          <cell r="F302">
            <v>8</v>
          </cell>
          <cell r="G302" t="str">
            <v xml:space="preserve">Erie </v>
          </cell>
          <cell r="H302">
            <v>0.20373831775700935</v>
          </cell>
          <cell r="I302">
            <v>0.19784321858150145</v>
          </cell>
          <cell r="J302">
            <v>0.18642647674905741</v>
          </cell>
          <cell r="K302">
            <v>0.16485900216919741</v>
          </cell>
          <cell r="L302" t="str">
            <v>N/A</v>
          </cell>
          <cell r="M302" t="str">
            <v>N/A</v>
          </cell>
        </row>
        <row r="303">
          <cell r="F303">
            <v>9</v>
          </cell>
          <cell r="G303" t="str">
            <v>Fashion Institute</v>
          </cell>
          <cell r="H303">
            <v>4.8884165781083955E-2</v>
          </cell>
          <cell r="I303">
            <v>5.9241706161137442E-2</v>
          </cell>
          <cell r="J303">
            <v>3.4280117531831536E-2</v>
          </cell>
          <cell r="K303">
            <v>0.04</v>
          </cell>
          <cell r="L303" t="str">
            <v>N/A</v>
          </cell>
          <cell r="M303" t="str">
            <v>N/A</v>
          </cell>
        </row>
        <row r="304">
          <cell r="F304">
            <v>10</v>
          </cell>
          <cell r="G304" t="str">
            <v xml:space="preserve">Finger Lakes </v>
          </cell>
          <cell r="H304">
            <v>0.24303797468354429</v>
          </cell>
          <cell r="I304">
            <v>0.23479318734793186</v>
          </cell>
          <cell r="J304">
            <v>0.2189695550351288</v>
          </cell>
          <cell r="K304">
            <v>0.25249169435215946</v>
          </cell>
          <cell r="L304" t="str">
            <v>N/A</v>
          </cell>
          <cell r="M304" t="str">
            <v>N/A</v>
          </cell>
        </row>
        <row r="305">
          <cell r="F305">
            <v>11</v>
          </cell>
          <cell r="G305" t="str">
            <v xml:space="preserve">Fulton-Montgomery </v>
          </cell>
          <cell r="H305">
            <v>0.22716627634660422</v>
          </cell>
          <cell r="I305">
            <v>0.21361502347417841</v>
          </cell>
          <cell r="J305">
            <v>0.25063291139240507</v>
          </cell>
          <cell r="K305">
            <v>0.16371681415929204</v>
          </cell>
          <cell r="L305" t="str">
            <v>N/A</v>
          </cell>
          <cell r="M305" t="str">
            <v>N/A</v>
          </cell>
        </row>
        <row r="306">
          <cell r="F306">
            <v>12</v>
          </cell>
          <cell r="G306" t="str">
            <v xml:space="preserve">Genesee </v>
          </cell>
          <cell r="H306">
            <v>0.25042016806722689</v>
          </cell>
          <cell r="I306">
            <v>0.26198439241917504</v>
          </cell>
          <cell r="J306">
            <v>0.28210526315789475</v>
          </cell>
          <cell r="K306">
            <v>0.28990228013029318</v>
          </cell>
          <cell r="L306" t="str">
            <v>N/A</v>
          </cell>
          <cell r="M306" t="str">
            <v>N/A</v>
          </cell>
        </row>
        <row r="307">
          <cell r="F307">
            <v>13</v>
          </cell>
          <cell r="G307" t="str">
            <v>Herkimer</v>
          </cell>
          <cell r="H307">
            <v>0.31379731379731379</v>
          </cell>
          <cell r="I307">
            <v>0.33877038895859474</v>
          </cell>
          <cell r="J307">
            <v>0.31734317343173429</v>
          </cell>
          <cell r="K307">
            <v>0.36504424778761063</v>
          </cell>
          <cell r="L307" t="str">
            <v>N/A</v>
          </cell>
          <cell r="M307" t="str">
            <v>N/A</v>
          </cell>
        </row>
        <row r="308">
          <cell r="F308">
            <v>14</v>
          </cell>
          <cell r="G308" t="str">
            <v xml:space="preserve">Hudson Valley </v>
          </cell>
          <cell r="H308">
            <v>0.20135363790186125</v>
          </cell>
          <cell r="I308">
            <v>0.21804818293180891</v>
          </cell>
          <cell r="J308">
            <v>0.21709741550695824</v>
          </cell>
          <cell r="K308">
            <v>0.21450282240555796</v>
          </cell>
          <cell r="L308" t="str">
            <v>N/A</v>
          </cell>
          <cell r="M308" t="str">
            <v>N/A</v>
          </cell>
        </row>
        <row r="309">
          <cell r="F309">
            <v>15</v>
          </cell>
          <cell r="G309" t="str">
            <v xml:space="preserve">Jamestown </v>
          </cell>
          <cell r="H309">
            <v>0.24518613607188702</v>
          </cell>
          <cell r="I309">
            <v>0.22540983606557377</v>
          </cell>
          <cell r="J309">
            <v>0.20986238532110091</v>
          </cell>
          <cell r="K309">
            <v>0.21484814398200225</v>
          </cell>
          <cell r="L309" t="str">
            <v>N/A</v>
          </cell>
          <cell r="M309" t="str">
            <v>N/A</v>
          </cell>
        </row>
        <row r="310">
          <cell r="F310">
            <v>16</v>
          </cell>
          <cell r="G310" t="str">
            <v xml:space="preserve">Jefferson </v>
          </cell>
          <cell r="H310">
            <v>0.25844594594594594</v>
          </cell>
          <cell r="I310">
            <v>0.26455906821963393</v>
          </cell>
          <cell r="J310">
            <v>0.21103896103896103</v>
          </cell>
          <cell r="K310">
            <v>0.24640000000000001</v>
          </cell>
          <cell r="L310" t="str">
            <v>N/A</v>
          </cell>
          <cell r="M310" t="str">
            <v>N/A</v>
          </cell>
        </row>
        <row r="311">
          <cell r="F311">
            <v>17</v>
          </cell>
          <cell r="G311" t="str">
            <v xml:space="preserve">Mohawk Valley </v>
          </cell>
          <cell r="H311">
            <v>0.26590909090909093</v>
          </cell>
          <cell r="I311">
            <v>0.22835820895522388</v>
          </cell>
          <cell r="J311">
            <v>0.23025335320417287</v>
          </cell>
          <cell r="K311">
            <v>0.26146788990825687</v>
          </cell>
          <cell r="L311" t="str">
            <v>N/A</v>
          </cell>
          <cell r="M311" t="str">
            <v>N/A</v>
          </cell>
        </row>
        <row r="312">
          <cell r="F312">
            <v>18</v>
          </cell>
          <cell r="G312" t="str">
            <v xml:space="preserve">Monroe </v>
          </cell>
          <cell r="H312">
            <v>0.17929015733626052</v>
          </cell>
          <cell r="I312">
            <v>0.19471624266144813</v>
          </cell>
          <cell r="J312">
            <v>0.19612866495872475</v>
          </cell>
          <cell r="K312">
            <v>0.17007010057909175</v>
          </cell>
          <cell r="L312" t="str">
            <v>N/A</v>
          </cell>
          <cell r="M312" t="str">
            <v>N/A</v>
          </cell>
        </row>
        <row r="313">
          <cell r="F313">
            <v>19</v>
          </cell>
          <cell r="G313" t="str">
            <v xml:space="preserve">Nassau </v>
          </cell>
          <cell r="H313">
            <v>0.13681345868381989</v>
          </cell>
          <cell r="I313">
            <v>0.13190034196384953</v>
          </cell>
          <cell r="J313">
            <v>0.12154942119323241</v>
          </cell>
          <cell r="K313">
            <v>0.12633735488276804</v>
          </cell>
          <cell r="L313" t="str">
            <v>N/A</v>
          </cell>
          <cell r="M313" t="str">
            <v>N/A</v>
          </cell>
        </row>
        <row r="314">
          <cell r="F314">
            <v>20</v>
          </cell>
          <cell r="G314" t="str">
            <v>Niagara</v>
          </cell>
          <cell r="H314">
            <v>0.2289156626506024</v>
          </cell>
          <cell r="I314">
            <v>0.21930745015739769</v>
          </cell>
          <cell r="J314">
            <v>0.23373052245646195</v>
          </cell>
          <cell r="K314">
            <v>0.22632575757575757</v>
          </cell>
          <cell r="L314" t="str">
            <v>N/A</v>
          </cell>
          <cell r="M314" t="str">
            <v>N/A</v>
          </cell>
        </row>
        <row r="315">
          <cell r="F315">
            <v>21</v>
          </cell>
          <cell r="G315" t="str">
            <v xml:space="preserve">North Country </v>
          </cell>
          <cell r="H315">
            <v>0.21691176470588236</v>
          </cell>
          <cell r="I315">
            <v>0.21942446043165467</v>
          </cell>
          <cell r="J315">
            <v>0.20886075949367089</v>
          </cell>
          <cell r="K315">
            <v>0.22186495176848875</v>
          </cell>
          <cell r="L315" t="str">
            <v>N/A</v>
          </cell>
          <cell r="M315" t="str">
            <v>N/A</v>
          </cell>
        </row>
        <row r="316">
          <cell r="F316">
            <v>22</v>
          </cell>
          <cell r="G316" t="str">
            <v xml:space="preserve">Onondaga </v>
          </cell>
          <cell r="H316">
            <v>0.2066458982346833</v>
          </cell>
          <cell r="I316">
            <v>0.16069600818833163</v>
          </cell>
          <cell r="J316">
            <v>0.1437125748502994</v>
          </cell>
          <cell r="K316">
            <v>0.15562565720294427</v>
          </cell>
          <cell r="L316" t="str">
            <v>N/A</v>
          </cell>
          <cell r="M316" t="str">
            <v>N/A</v>
          </cell>
        </row>
        <row r="317">
          <cell r="F317">
            <v>23</v>
          </cell>
          <cell r="G317" t="str">
            <v>Orange</v>
          </cell>
          <cell r="H317">
            <v>0.14874371859296481</v>
          </cell>
          <cell r="I317">
            <v>0.12698412698412698</v>
          </cell>
          <cell r="J317">
            <v>0.14203612479474548</v>
          </cell>
          <cell r="K317">
            <v>0.14786324786324787</v>
          </cell>
          <cell r="L317" t="str">
            <v>N/A</v>
          </cell>
          <cell r="M317" t="str">
            <v>N/A</v>
          </cell>
        </row>
        <row r="318">
          <cell r="F318">
            <v>24</v>
          </cell>
          <cell r="G318" t="str">
            <v xml:space="preserve">Rockland </v>
          </cell>
          <cell r="H318">
            <v>0.15247895229186156</v>
          </cell>
          <cell r="I318">
            <v>0.18518518518518517</v>
          </cell>
          <cell r="J318">
            <v>0.17694369973190349</v>
          </cell>
          <cell r="K318">
            <v>0.14359861591695502</v>
          </cell>
          <cell r="L318" t="str">
            <v>N/A</v>
          </cell>
          <cell r="M318" t="str">
            <v>N/A</v>
          </cell>
        </row>
        <row r="319">
          <cell r="F319">
            <v>25</v>
          </cell>
          <cell r="G319" t="str">
            <v>Schenectady</v>
          </cell>
          <cell r="H319">
            <v>0.15632754342431762</v>
          </cell>
          <cell r="I319">
            <v>0.19431279620853081</v>
          </cell>
          <cell r="J319">
            <v>0.19315403422982885</v>
          </cell>
          <cell r="K319">
            <v>0.17966903073286053</v>
          </cell>
          <cell r="L319" t="str">
            <v>N/A</v>
          </cell>
          <cell r="M319" t="str">
            <v>N/A</v>
          </cell>
        </row>
        <row r="320">
          <cell r="F320">
            <v>26</v>
          </cell>
          <cell r="G320" t="str">
            <v>Suffolk</v>
          </cell>
          <cell r="H320">
            <v>0.12023633677991137</v>
          </cell>
          <cell r="I320">
            <v>0.12823974082073433</v>
          </cell>
          <cell r="J320">
            <v>0.12263374485596708</v>
          </cell>
          <cell r="K320">
            <v>0.1196271361988607</v>
          </cell>
          <cell r="L320" t="str">
            <v>N/A</v>
          </cell>
          <cell r="M320" t="str">
            <v>N/A</v>
          </cell>
        </row>
        <row r="321">
          <cell r="F321">
            <v>27</v>
          </cell>
          <cell r="G321" t="str">
            <v>Sullivan</v>
          </cell>
          <cell r="H321">
            <v>0.17757009345794392</v>
          </cell>
          <cell r="I321">
            <v>0.1991869918699187</v>
          </cell>
          <cell r="J321">
            <v>0.25173210161662818</v>
          </cell>
          <cell r="K321">
            <v>0.18695652173913044</v>
          </cell>
          <cell r="L321" t="str">
            <v>N/A</v>
          </cell>
          <cell r="M321" t="str">
            <v>N/A</v>
          </cell>
        </row>
        <row r="322">
          <cell r="F322">
            <v>28</v>
          </cell>
          <cell r="G322" t="str">
            <v xml:space="preserve">Tompkins-Cortland </v>
          </cell>
          <cell r="H322">
            <v>0.2208904109589041</v>
          </cell>
          <cell r="I322">
            <v>0.24189189189189189</v>
          </cell>
          <cell r="J322">
            <v>0.25392296718972895</v>
          </cell>
          <cell r="K322">
            <v>0.25942028985507248</v>
          </cell>
          <cell r="L322" t="str">
            <v>N/A</v>
          </cell>
          <cell r="M322" t="str">
            <v>N/A</v>
          </cell>
        </row>
        <row r="323">
          <cell r="F323">
            <v>29</v>
          </cell>
          <cell r="G323" t="str">
            <v>Ulster</v>
          </cell>
          <cell r="H323">
            <v>0.21218961625282168</v>
          </cell>
          <cell r="I323">
            <v>0.23061224489795917</v>
          </cell>
          <cell r="J323">
            <v>0.17391304347826086</v>
          </cell>
          <cell r="K323">
            <v>0.24942263279445728</v>
          </cell>
          <cell r="L323" t="str">
            <v>N/A</v>
          </cell>
          <cell r="M323" t="str">
            <v>N/A</v>
          </cell>
        </row>
        <row r="324">
          <cell r="F324">
            <v>30</v>
          </cell>
          <cell r="G324" t="str">
            <v xml:space="preserve">Westchester </v>
          </cell>
          <cell r="H324">
            <v>8.5733422638981913E-2</v>
          </cell>
          <cell r="I324">
            <v>8.5750315258511983E-2</v>
          </cell>
          <cell r="J324">
            <v>9.384521633150518E-2</v>
          </cell>
          <cell r="K324">
            <v>8.0604534005037781E-2</v>
          </cell>
          <cell r="L324" t="str">
            <v>N/A</v>
          </cell>
          <cell r="M324" t="str">
            <v>N/A</v>
          </cell>
        </row>
        <row r="326">
          <cell r="F326">
            <v>0</v>
          </cell>
          <cell r="G326" t="str">
            <v>Community Colleges</v>
          </cell>
          <cell r="H326">
            <v>162628</v>
          </cell>
          <cell r="I326">
            <v>161784</v>
          </cell>
          <cell r="J326">
            <v>162945</v>
          </cell>
          <cell r="K326">
            <v>168655</v>
          </cell>
          <cell r="L326">
            <v>176706</v>
          </cell>
          <cell r="M326">
            <v>192392</v>
          </cell>
          <cell r="N326">
            <v>197988</v>
          </cell>
          <cell r="O326">
            <v>204064</v>
          </cell>
        </row>
        <row r="327">
          <cell r="F327">
            <v>1</v>
          </cell>
          <cell r="G327" t="str">
            <v>Adirondack</v>
          </cell>
          <cell r="H327">
            <v>2519</v>
          </cell>
          <cell r="I327">
            <v>2442</v>
          </cell>
          <cell r="J327">
            <v>2490</v>
          </cell>
          <cell r="K327">
            <v>2391</v>
          </cell>
          <cell r="L327">
            <v>2529</v>
          </cell>
          <cell r="M327">
            <v>2857</v>
          </cell>
          <cell r="N327">
            <v>2979</v>
          </cell>
          <cell r="O327">
            <v>2919</v>
          </cell>
        </row>
        <row r="328">
          <cell r="F328">
            <v>2</v>
          </cell>
          <cell r="G328" t="str">
            <v>Broome</v>
          </cell>
          <cell r="H328">
            <v>4977</v>
          </cell>
          <cell r="I328">
            <v>4776</v>
          </cell>
          <cell r="J328">
            <v>4809</v>
          </cell>
          <cell r="K328">
            <v>4969</v>
          </cell>
          <cell r="L328">
            <v>5123</v>
          </cell>
          <cell r="M328">
            <v>5468</v>
          </cell>
          <cell r="N328">
            <v>5305</v>
          </cell>
          <cell r="O328">
            <v>6076</v>
          </cell>
        </row>
        <row r="329">
          <cell r="F329">
            <v>3</v>
          </cell>
          <cell r="G329" t="str">
            <v>Cayuga</v>
          </cell>
          <cell r="H329">
            <v>2878</v>
          </cell>
          <cell r="I329">
            <v>2801</v>
          </cell>
          <cell r="J329">
            <v>2782</v>
          </cell>
          <cell r="K329">
            <v>2869</v>
          </cell>
          <cell r="L329">
            <v>2925</v>
          </cell>
          <cell r="M329">
            <v>3461</v>
          </cell>
          <cell r="N329">
            <v>3460</v>
          </cell>
          <cell r="O329">
            <v>3460</v>
          </cell>
        </row>
        <row r="330">
          <cell r="F330">
            <v>4</v>
          </cell>
          <cell r="G330" t="str">
            <v>Clinton</v>
          </cell>
          <cell r="H330">
            <v>1566</v>
          </cell>
          <cell r="I330">
            <v>1508</v>
          </cell>
          <cell r="J330">
            <v>1404</v>
          </cell>
          <cell r="K330">
            <v>1374</v>
          </cell>
          <cell r="L330">
            <v>1414</v>
          </cell>
          <cell r="M330">
            <v>1550</v>
          </cell>
          <cell r="N330">
            <v>1573</v>
          </cell>
          <cell r="O330">
            <v>1573</v>
          </cell>
        </row>
        <row r="331">
          <cell r="F331">
            <v>5</v>
          </cell>
          <cell r="G331" t="str">
            <v>Columbia-Greene</v>
          </cell>
          <cell r="H331">
            <v>1240</v>
          </cell>
          <cell r="I331">
            <v>1246</v>
          </cell>
          <cell r="J331">
            <v>1289</v>
          </cell>
          <cell r="K331">
            <v>1306</v>
          </cell>
          <cell r="L331">
            <v>1361</v>
          </cell>
          <cell r="M331">
            <v>1524</v>
          </cell>
          <cell r="N331">
            <v>1441</v>
          </cell>
          <cell r="O331">
            <v>1379</v>
          </cell>
        </row>
        <row r="332">
          <cell r="F332">
            <v>6</v>
          </cell>
          <cell r="G332" t="str">
            <v>Corning</v>
          </cell>
          <cell r="H332">
            <v>3489</v>
          </cell>
          <cell r="I332">
            <v>3497</v>
          </cell>
          <cell r="J332">
            <v>3121</v>
          </cell>
          <cell r="K332">
            <v>3234</v>
          </cell>
          <cell r="L332">
            <v>3387</v>
          </cell>
          <cell r="M332">
            <v>3670</v>
          </cell>
          <cell r="N332">
            <v>3520</v>
          </cell>
          <cell r="O332">
            <v>3650</v>
          </cell>
        </row>
        <row r="333">
          <cell r="F333">
            <v>7</v>
          </cell>
          <cell r="G333" t="str">
            <v>Dutchess</v>
          </cell>
          <cell r="H333">
            <v>5687</v>
          </cell>
          <cell r="I333">
            <v>5826</v>
          </cell>
          <cell r="J333">
            <v>5806</v>
          </cell>
          <cell r="K333">
            <v>5973</v>
          </cell>
          <cell r="L333">
            <v>6461</v>
          </cell>
          <cell r="M333">
            <v>7367</v>
          </cell>
          <cell r="N333">
            <v>7701</v>
          </cell>
          <cell r="O333">
            <v>7801</v>
          </cell>
        </row>
        <row r="334">
          <cell r="F334">
            <v>8</v>
          </cell>
          <cell r="G334" t="str">
            <v>Erie</v>
          </cell>
          <cell r="H334">
            <v>11406</v>
          </cell>
          <cell r="I334">
            <v>11368</v>
          </cell>
          <cell r="J334">
            <v>11547</v>
          </cell>
          <cell r="K334">
            <v>12170</v>
          </cell>
          <cell r="L334">
            <v>12695</v>
          </cell>
          <cell r="M334">
            <v>13398</v>
          </cell>
          <cell r="N334">
            <v>13773</v>
          </cell>
          <cell r="O334">
            <v>14369</v>
          </cell>
        </row>
        <row r="335">
          <cell r="F335">
            <v>9</v>
          </cell>
          <cell r="G335" t="str">
            <v>Fashion Institute</v>
          </cell>
          <cell r="H335">
            <v>8700</v>
          </cell>
          <cell r="I335">
            <v>8758</v>
          </cell>
          <cell r="J335">
            <v>8618</v>
          </cell>
          <cell r="K335">
            <v>8635</v>
          </cell>
          <cell r="L335">
            <v>8913</v>
          </cell>
          <cell r="M335">
            <v>9126</v>
          </cell>
          <cell r="N335">
            <v>9143</v>
          </cell>
          <cell r="O335">
            <v>9185</v>
          </cell>
        </row>
        <row r="336">
          <cell r="F336">
            <v>10</v>
          </cell>
          <cell r="G336" t="str">
            <v>Finger Lakes</v>
          </cell>
          <cell r="H336">
            <v>3474</v>
          </cell>
          <cell r="I336">
            <v>3475</v>
          </cell>
          <cell r="J336">
            <v>3552</v>
          </cell>
          <cell r="K336">
            <v>3849</v>
          </cell>
          <cell r="L336">
            <v>4229</v>
          </cell>
          <cell r="M336">
            <v>4956</v>
          </cell>
          <cell r="N336">
            <v>5146</v>
          </cell>
          <cell r="O336">
            <v>5731</v>
          </cell>
        </row>
        <row r="337">
          <cell r="F337">
            <v>11</v>
          </cell>
          <cell r="G337" t="str">
            <v>Fulton-Montgomery</v>
          </cell>
          <cell r="H337">
            <v>1702</v>
          </cell>
          <cell r="I337">
            <v>1690</v>
          </cell>
          <cell r="J337">
            <v>1708</v>
          </cell>
          <cell r="K337">
            <v>1769</v>
          </cell>
          <cell r="L337">
            <v>1914</v>
          </cell>
          <cell r="M337">
            <v>2222</v>
          </cell>
          <cell r="N337">
            <v>2266</v>
          </cell>
          <cell r="O337">
            <v>2218</v>
          </cell>
        </row>
        <row r="338">
          <cell r="F338">
            <v>12</v>
          </cell>
          <cell r="G338" t="str">
            <v>Genesee</v>
          </cell>
          <cell r="H338">
            <v>3941</v>
          </cell>
          <cell r="I338">
            <v>4057</v>
          </cell>
          <cell r="J338">
            <v>3923</v>
          </cell>
          <cell r="K338">
            <v>4018</v>
          </cell>
          <cell r="L338">
            <v>4263</v>
          </cell>
          <cell r="M338">
            <v>4619</v>
          </cell>
          <cell r="N338">
            <v>4748</v>
          </cell>
          <cell r="O338">
            <v>4941</v>
          </cell>
        </row>
        <row r="339">
          <cell r="F339">
            <v>13</v>
          </cell>
          <cell r="G339" t="str">
            <v>Herkimer</v>
          </cell>
          <cell r="H339">
            <v>2840</v>
          </cell>
          <cell r="I339">
            <v>2831</v>
          </cell>
          <cell r="J339">
            <v>2702</v>
          </cell>
          <cell r="K339">
            <v>2667</v>
          </cell>
          <cell r="L339">
            <v>2880</v>
          </cell>
          <cell r="M339">
            <v>3086</v>
          </cell>
          <cell r="N339">
            <v>3043</v>
          </cell>
          <cell r="O339">
            <v>3040</v>
          </cell>
        </row>
        <row r="340">
          <cell r="F340">
            <v>14</v>
          </cell>
          <cell r="G340" t="str">
            <v>Hudson Valley</v>
          </cell>
          <cell r="H340">
            <v>8925</v>
          </cell>
          <cell r="I340">
            <v>8879</v>
          </cell>
          <cell r="J340">
            <v>8811</v>
          </cell>
          <cell r="K340">
            <v>8876</v>
          </cell>
          <cell r="L340">
            <v>9269</v>
          </cell>
          <cell r="M340">
            <v>10085</v>
          </cell>
          <cell r="N340">
            <v>10252</v>
          </cell>
          <cell r="O340">
            <v>10306</v>
          </cell>
        </row>
        <row r="341">
          <cell r="F341">
            <v>15</v>
          </cell>
          <cell r="G341" t="str">
            <v>Jamestown</v>
          </cell>
          <cell r="H341">
            <v>3120</v>
          </cell>
          <cell r="I341">
            <v>3150</v>
          </cell>
          <cell r="J341">
            <v>3191</v>
          </cell>
          <cell r="K341">
            <v>3083</v>
          </cell>
          <cell r="L341">
            <v>3290</v>
          </cell>
          <cell r="M341">
            <v>3929</v>
          </cell>
          <cell r="N341">
            <v>3515</v>
          </cell>
          <cell r="O341">
            <v>2734</v>
          </cell>
        </row>
        <row r="342">
          <cell r="F342">
            <v>16</v>
          </cell>
          <cell r="G342" t="str">
            <v>Jefferson</v>
          </cell>
          <cell r="H342">
            <v>2468</v>
          </cell>
          <cell r="I342">
            <v>2286</v>
          </cell>
          <cell r="J342">
            <v>2177</v>
          </cell>
          <cell r="K342">
            <v>2195</v>
          </cell>
          <cell r="L342">
            <v>2274</v>
          </cell>
          <cell r="M342">
            <v>2548</v>
          </cell>
          <cell r="N342">
            <v>2775</v>
          </cell>
          <cell r="O342">
            <v>3005</v>
          </cell>
        </row>
        <row r="343">
          <cell r="F343">
            <v>17</v>
          </cell>
          <cell r="G343" t="str">
            <v>Mohawk Valley</v>
          </cell>
          <cell r="H343">
            <v>4553</v>
          </cell>
          <cell r="I343">
            <v>4470</v>
          </cell>
          <cell r="J343">
            <v>4475</v>
          </cell>
          <cell r="K343">
            <v>4559</v>
          </cell>
          <cell r="L343">
            <v>4812</v>
          </cell>
          <cell r="M343">
            <v>5401</v>
          </cell>
          <cell r="N343">
            <v>5965</v>
          </cell>
          <cell r="O343">
            <v>5876</v>
          </cell>
        </row>
        <row r="344">
          <cell r="F344">
            <v>18</v>
          </cell>
          <cell r="G344" t="str">
            <v>Monroe</v>
          </cell>
          <cell r="H344">
            <v>14050</v>
          </cell>
          <cell r="I344">
            <v>14016</v>
          </cell>
          <cell r="J344">
            <v>13669</v>
          </cell>
          <cell r="K344">
            <v>14260</v>
          </cell>
          <cell r="L344">
            <v>15131</v>
          </cell>
          <cell r="M344">
            <v>16246</v>
          </cell>
          <cell r="N344">
            <v>16181</v>
          </cell>
          <cell r="O344">
            <v>16950</v>
          </cell>
        </row>
        <row r="345">
          <cell r="F345">
            <v>19</v>
          </cell>
          <cell r="G345" t="str">
            <v>Nassau</v>
          </cell>
          <cell r="H345">
            <v>18238</v>
          </cell>
          <cell r="I345">
            <v>17642</v>
          </cell>
          <cell r="J345">
            <v>18106</v>
          </cell>
          <cell r="K345">
            <v>18287</v>
          </cell>
          <cell r="L345">
            <v>18427</v>
          </cell>
          <cell r="M345">
            <v>19392</v>
          </cell>
          <cell r="N345">
            <v>19605</v>
          </cell>
          <cell r="O345">
            <v>19322</v>
          </cell>
        </row>
        <row r="346">
          <cell r="F346">
            <v>20</v>
          </cell>
          <cell r="G346" t="str">
            <v>Niagara</v>
          </cell>
          <cell r="H346">
            <v>4220</v>
          </cell>
          <cell r="I346">
            <v>4263</v>
          </cell>
          <cell r="J346">
            <v>4336</v>
          </cell>
          <cell r="K346">
            <v>4682</v>
          </cell>
          <cell r="L346">
            <v>4952</v>
          </cell>
          <cell r="M346">
            <v>5604</v>
          </cell>
          <cell r="N346">
            <v>6046</v>
          </cell>
          <cell r="O346">
            <v>6149</v>
          </cell>
        </row>
        <row r="347">
          <cell r="F347">
            <v>21</v>
          </cell>
          <cell r="G347" t="str">
            <v>North Country</v>
          </cell>
          <cell r="H347">
            <v>1060</v>
          </cell>
          <cell r="I347">
            <v>1096</v>
          </cell>
          <cell r="J347">
            <v>1088</v>
          </cell>
          <cell r="K347">
            <v>1108</v>
          </cell>
          <cell r="L347">
            <v>1158</v>
          </cell>
          <cell r="M347">
            <v>1341</v>
          </cell>
          <cell r="N347">
            <v>1411</v>
          </cell>
          <cell r="O347">
            <v>1423</v>
          </cell>
        </row>
        <row r="348">
          <cell r="F348">
            <v>22</v>
          </cell>
          <cell r="G348" t="str">
            <v>Onondaga</v>
          </cell>
          <cell r="H348">
            <v>6384</v>
          </cell>
          <cell r="I348">
            <v>6486</v>
          </cell>
          <cell r="J348">
            <v>6891</v>
          </cell>
          <cell r="K348">
            <v>7603</v>
          </cell>
          <cell r="L348">
            <v>8034</v>
          </cell>
          <cell r="M348">
            <v>8743</v>
          </cell>
          <cell r="N348">
            <v>8993</v>
          </cell>
          <cell r="O348">
            <v>9522</v>
          </cell>
        </row>
        <row r="349">
          <cell r="F349">
            <v>23</v>
          </cell>
          <cell r="G349" t="str">
            <v>Orange</v>
          </cell>
          <cell r="H349">
            <v>4250</v>
          </cell>
          <cell r="I349">
            <v>4281</v>
          </cell>
          <cell r="J349">
            <v>4345</v>
          </cell>
          <cell r="K349">
            <v>4381</v>
          </cell>
          <cell r="L349">
            <v>4669</v>
          </cell>
          <cell r="M349">
            <v>5021</v>
          </cell>
          <cell r="N349">
            <v>5314</v>
          </cell>
          <cell r="O349">
            <v>5867</v>
          </cell>
        </row>
        <row r="350">
          <cell r="F350">
            <v>24</v>
          </cell>
          <cell r="G350" t="str">
            <v>Rockland</v>
          </cell>
          <cell r="H350">
            <v>4843</v>
          </cell>
          <cell r="I350">
            <v>4866</v>
          </cell>
          <cell r="J350">
            <v>5332</v>
          </cell>
          <cell r="K350">
            <v>5587</v>
          </cell>
          <cell r="L350">
            <v>6058</v>
          </cell>
          <cell r="M350">
            <v>6645</v>
          </cell>
          <cell r="N350">
            <v>7291</v>
          </cell>
          <cell r="O350">
            <v>7815</v>
          </cell>
        </row>
        <row r="351">
          <cell r="F351">
            <v>25</v>
          </cell>
          <cell r="G351" t="str">
            <v>Schenectady</v>
          </cell>
          <cell r="H351">
            <v>2894</v>
          </cell>
          <cell r="I351">
            <v>2949</v>
          </cell>
          <cell r="J351">
            <v>2887</v>
          </cell>
          <cell r="K351">
            <v>2902</v>
          </cell>
          <cell r="L351">
            <v>3114</v>
          </cell>
          <cell r="M351">
            <v>3468</v>
          </cell>
          <cell r="N351">
            <v>4238</v>
          </cell>
          <cell r="O351">
            <v>4473</v>
          </cell>
        </row>
        <row r="352">
          <cell r="F352">
            <v>26</v>
          </cell>
          <cell r="G352" t="str">
            <v>Suffolk</v>
          </cell>
          <cell r="H352">
            <v>16266</v>
          </cell>
          <cell r="I352">
            <v>16434</v>
          </cell>
          <cell r="J352">
            <v>16852</v>
          </cell>
          <cell r="K352">
            <v>17404</v>
          </cell>
          <cell r="L352">
            <v>18103</v>
          </cell>
          <cell r="M352">
            <v>19667</v>
          </cell>
          <cell r="N352">
            <v>21450</v>
          </cell>
          <cell r="O352">
            <v>22364</v>
          </cell>
        </row>
        <row r="353">
          <cell r="F353">
            <v>27</v>
          </cell>
          <cell r="G353" t="str">
            <v>Sullivan</v>
          </cell>
          <cell r="H353">
            <v>1327</v>
          </cell>
          <cell r="I353">
            <v>1244</v>
          </cell>
          <cell r="J353">
            <v>1224</v>
          </cell>
          <cell r="K353">
            <v>1185</v>
          </cell>
          <cell r="L353">
            <v>1293</v>
          </cell>
          <cell r="M353">
            <v>1345</v>
          </cell>
          <cell r="N353">
            <v>1388</v>
          </cell>
          <cell r="O353">
            <v>1504</v>
          </cell>
        </row>
        <row r="354">
          <cell r="F354">
            <v>28</v>
          </cell>
          <cell r="G354" t="str">
            <v>Tompkins-Cortland</v>
          </cell>
          <cell r="H354">
            <v>3050</v>
          </cell>
          <cell r="I354">
            <v>3110</v>
          </cell>
          <cell r="J354">
            <v>3189</v>
          </cell>
          <cell r="K354">
            <v>3451</v>
          </cell>
          <cell r="L354">
            <v>3627</v>
          </cell>
          <cell r="M354">
            <v>3968</v>
          </cell>
          <cell r="N354">
            <v>4095</v>
          </cell>
          <cell r="O354">
            <v>4608</v>
          </cell>
        </row>
        <row r="355">
          <cell r="F355">
            <v>29</v>
          </cell>
          <cell r="G355" t="str">
            <v>Ulster</v>
          </cell>
          <cell r="H355">
            <v>2152</v>
          </cell>
          <cell r="I355">
            <v>2079</v>
          </cell>
          <cell r="J355">
            <v>2031</v>
          </cell>
          <cell r="K355">
            <v>2117</v>
          </cell>
          <cell r="L355">
            <v>2258</v>
          </cell>
          <cell r="M355">
            <v>2314</v>
          </cell>
          <cell r="N355">
            <v>2318</v>
          </cell>
          <cell r="O355">
            <v>2227</v>
          </cell>
        </row>
        <row r="356">
          <cell r="F356">
            <v>30</v>
          </cell>
          <cell r="G356" t="str">
            <v>Westchester</v>
          </cell>
          <cell r="H356">
            <v>10410</v>
          </cell>
          <cell r="I356">
            <v>10260</v>
          </cell>
          <cell r="J356">
            <v>10591</v>
          </cell>
          <cell r="K356">
            <v>11753</v>
          </cell>
          <cell r="L356">
            <v>12144</v>
          </cell>
          <cell r="M356">
            <v>13373</v>
          </cell>
          <cell r="N356">
            <v>13050</v>
          </cell>
          <cell r="O356">
            <v>13580</v>
          </cell>
        </row>
        <row r="358">
          <cell r="F358">
            <v>0</v>
          </cell>
          <cell r="G358" t="str">
            <v>Community Colleges</v>
          </cell>
          <cell r="H358">
            <v>29432</v>
          </cell>
          <cell r="I358">
            <v>30054</v>
          </cell>
          <cell r="J358">
            <v>29960</v>
          </cell>
          <cell r="K358">
            <v>29741</v>
          </cell>
          <cell r="L358">
            <v>30124</v>
          </cell>
          <cell r="M358">
            <v>32392</v>
          </cell>
        </row>
        <row r="359">
          <cell r="F359">
            <v>1</v>
          </cell>
          <cell r="G359" t="str">
            <v>Adirondack</v>
          </cell>
          <cell r="H359">
            <v>493</v>
          </cell>
          <cell r="I359">
            <v>481</v>
          </cell>
          <cell r="J359">
            <v>488</v>
          </cell>
          <cell r="K359">
            <v>439</v>
          </cell>
          <cell r="L359">
            <v>428</v>
          </cell>
          <cell r="M359">
            <v>457</v>
          </cell>
        </row>
        <row r="360">
          <cell r="F360">
            <v>2</v>
          </cell>
          <cell r="G360" t="str">
            <v>Broome</v>
          </cell>
          <cell r="H360">
            <v>1045</v>
          </cell>
          <cell r="I360">
            <v>981</v>
          </cell>
          <cell r="J360">
            <v>1025</v>
          </cell>
          <cell r="K360">
            <v>1063</v>
          </cell>
          <cell r="L360">
            <v>1084</v>
          </cell>
          <cell r="M360">
            <v>1164</v>
          </cell>
        </row>
        <row r="361">
          <cell r="F361">
            <v>3</v>
          </cell>
          <cell r="G361" t="str">
            <v>Cayuga</v>
          </cell>
          <cell r="H361">
            <v>593</v>
          </cell>
          <cell r="I361">
            <v>540</v>
          </cell>
          <cell r="J361">
            <v>556</v>
          </cell>
          <cell r="K361">
            <v>515</v>
          </cell>
          <cell r="L361">
            <v>409</v>
          </cell>
          <cell r="M361">
            <v>556</v>
          </cell>
        </row>
        <row r="362">
          <cell r="F362">
            <v>4</v>
          </cell>
          <cell r="G362" t="str">
            <v>Clinton</v>
          </cell>
          <cell r="H362">
            <v>358</v>
          </cell>
          <cell r="I362">
            <v>333</v>
          </cell>
          <cell r="J362">
            <v>290</v>
          </cell>
          <cell r="K362">
            <v>311</v>
          </cell>
          <cell r="L362">
            <v>286</v>
          </cell>
          <cell r="M362">
            <v>294</v>
          </cell>
        </row>
        <row r="363">
          <cell r="F363">
            <v>5</v>
          </cell>
          <cell r="G363" t="str">
            <v>Columbia-Greene</v>
          </cell>
          <cell r="H363">
            <v>312</v>
          </cell>
          <cell r="I363">
            <v>299</v>
          </cell>
          <cell r="J363">
            <v>317</v>
          </cell>
          <cell r="K363">
            <v>338</v>
          </cell>
          <cell r="L363">
            <v>294</v>
          </cell>
          <cell r="M363">
            <v>336</v>
          </cell>
        </row>
        <row r="364">
          <cell r="F364">
            <v>6</v>
          </cell>
          <cell r="G364" t="str">
            <v>Corning</v>
          </cell>
          <cell r="H364">
            <v>692</v>
          </cell>
          <cell r="I364">
            <v>745</v>
          </cell>
          <cell r="J364">
            <v>725</v>
          </cell>
          <cell r="K364">
            <v>657</v>
          </cell>
          <cell r="L364">
            <v>593</v>
          </cell>
          <cell r="M364">
            <v>668</v>
          </cell>
        </row>
        <row r="365">
          <cell r="F365">
            <v>7</v>
          </cell>
          <cell r="G365" t="str">
            <v>Dutchess</v>
          </cell>
          <cell r="H365">
            <v>877</v>
          </cell>
          <cell r="I365">
            <v>972</v>
          </cell>
          <cell r="J365">
            <v>993</v>
          </cell>
          <cell r="K365">
            <v>930</v>
          </cell>
          <cell r="L365">
            <v>1057</v>
          </cell>
          <cell r="M365">
            <v>1058</v>
          </cell>
        </row>
        <row r="366">
          <cell r="F366">
            <v>8</v>
          </cell>
          <cell r="G366" t="str">
            <v>Erie</v>
          </cell>
          <cell r="H366">
            <v>1920</v>
          </cell>
          <cell r="I366">
            <v>1895</v>
          </cell>
          <cell r="J366">
            <v>1814</v>
          </cell>
          <cell r="K366">
            <v>1904</v>
          </cell>
          <cell r="L366">
            <v>1950</v>
          </cell>
          <cell r="M366">
            <v>2050</v>
          </cell>
        </row>
        <row r="367">
          <cell r="F367">
            <v>9</v>
          </cell>
          <cell r="G367" t="str">
            <v>Fashion Institute</v>
          </cell>
          <cell r="H367">
            <v>2368</v>
          </cell>
          <cell r="I367">
            <v>2805</v>
          </cell>
          <cell r="J367">
            <v>2867</v>
          </cell>
          <cell r="K367">
            <v>2801</v>
          </cell>
          <cell r="L367">
            <v>3108</v>
          </cell>
          <cell r="M367">
            <v>3312</v>
          </cell>
        </row>
        <row r="368">
          <cell r="F368">
            <v>10</v>
          </cell>
          <cell r="G368" t="str">
            <v>Finger Lakes</v>
          </cell>
          <cell r="H368">
            <v>746</v>
          </cell>
          <cell r="I368">
            <v>774</v>
          </cell>
          <cell r="J368">
            <v>742</v>
          </cell>
          <cell r="K368">
            <v>773</v>
          </cell>
          <cell r="L368">
            <v>825</v>
          </cell>
          <cell r="M368">
            <v>878</v>
          </cell>
        </row>
        <row r="369">
          <cell r="F369">
            <v>11</v>
          </cell>
          <cell r="G369" t="str">
            <v>Fulton-Montgomery</v>
          </cell>
          <cell r="H369">
            <v>371</v>
          </cell>
          <cell r="I369">
            <v>395</v>
          </cell>
          <cell r="J369">
            <v>368</v>
          </cell>
          <cell r="K369">
            <v>380</v>
          </cell>
          <cell r="L369">
            <v>389</v>
          </cell>
          <cell r="M369">
            <v>451</v>
          </cell>
        </row>
        <row r="370">
          <cell r="F370">
            <v>12</v>
          </cell>
          <cell r="G370" t="str">
            <v>Genesee</v>
          </cell>
          <cell r="H370">
            <v>714</v>
          </cell>
          <cell r="I370">
            <v>754</v>
          </cell>
          <cell r="J370">
            <v>799</v>
          </cell>
          <cell r="K370">
            <v>660</v>
          </cell>
          <cell r="L370">
            <v>793</v>
          </cell>
          <cell r="M370">
            <v>806</v>
          </cell>
        </row>
        <row r="371">
          <cell r="F371">
            <v>13</v>
          </cell>
          <cell r="G371" t="str">
            <v>Herkimer</v>
          </cell>
          <cell r="H371">
            <v>562</v>
          </cell>
          <cell r="I371">
            <v>593</v>
          </cell>
          <cell r="J371">
            <v>562</v>
          </cell>
          <cell r="K371">
            <v>529</v>
          </cell>
          <cell r="L371">
            <v>544</v>
          </cell>
          <cell r="M371">
            <v>579</v>
          </cell>
        </row>
        <row r="372">
          <cell r="F372">
            <v>14</v>
          </cell>
          <cell r="G372" t="str">
            <v>Hudson Valley</v>
          </cell>
          <cell r="H372">
            <v>1655</v>
          </cell>
          <cell r="I372">
            <v>1656</v>
          </cell>
          <cell r="J372">
            <v>1775</v>
          </cell>
          <cell r="K372">
            <v>1840</v>
          </cell>
          <cell r="L372">
            <v>1702</v>
          </cell>
          <cell r="M372">
            <v>1928</v>
          </cell>
        </row>
        <row r="373">
          <cell r="F373">
            <v>15</v>
          </cell>
          <cell r="G373" t="str">
            <v>Jamestown</v>
          </cell>
          <cell r="H373">
            <v>743</v>
          </cell>
          <cell r="I373">
            <v>708</v>
          </cell>
          <cell r="J373">
            <v>723</v>
          </cell>
          <cell r="K373">
            <v>664</v>
          </cell>
          <cell r="L373">
            <v>674</v>
          </cell>
          <cell r="M373">
            <v>761</v>
          </cell>
        </row>
        <row r="374">
          <cell r="F374">
            <v>16</v>
          </cell>
          <cell r="G374" t="str">
            <v>Jefferson</v>
          </cell>
          <cell r="H374">
            <v>565</v>
          </cell>
          <cell r="I374">
            <v>591</v>
          </cell>
          <cell r="J374">
            <v>539</v>
          </cell>
          <cell r="K374">
            <v>500</v>
          </cell>
          <cell r="L374">
            <v>476</v>
          </cell>
          <cell r="M374">
            <v>490</v>
          </cell>
        </row>
        <row r="375">
          <cell r="F375">
            <v>17</v>
          </cell>
          <cell r="G375" t="str">
            <v>Mohawk Valley</v>
          </cell>
          <cell r="H375">
            <v>855</v>
          </cell>
          <cell r="I375">
            <v>877</v>
          </cell>
          <cell r="J375">
            <v>790</v>
          </cell>
          <cell r="K375">
            <v>820</v>
          </cell>
          <cell r="L375">
            <v>808</v>
          </cell>
          <cell r="M375">
            <v>937</v>
          </cell>
        </row>
        <row r="376">
          <cell r="F376">
            <v>18</v>
          </cell>
          <cell r="G376" t="str">
            <v>Monroe</v>
          </cell>
          <cell r="H376">
            <v>2781</v>
          </cell>
          <cell r="I376">
            <v>2667</v>
          </cell>
          <cell r="J376">
            <v>2674</v>
          </cell>
          <cell r="K376">
            <v>2552</v>
          </cell>
          <cell r="L376">
            <v>2676</v>
          </cell>
          <cell r="M376">
            <v>2902</v>
          </cell>
        </row>
        <row r="377">
          <cell r="F377">
            <v>19</v>
          </cell>
          <cell r="G377" t="str">
            <v>Nassau</v>
          </cell>
          <cell r="H377">
            <v>2897</v>
          </cell>
          <cell r="I377">
            <v>2937</v>
          </cell>
          <cell r="J377">
            <v>2788</v>
          </cell>
          <cell r="K377">
            <v>2794</v>
          </cell>
          <cell r="L377">
            <v>2782</v>
          </cell>
          <cell r="M377">
            <v>2655</v>
          </cell>
        </row>
        <row r="378">
          <cell r="F378">
            <v>20</v>
          </cell>
          <cell r="G378" t="str">
            <v>Niagara</v>
          </cell>
          <cell r="H378">
            <v>886</v>
          </cell>
          <cell r="I378">
            <v>924</v>
          </cell>
          <cell r="J378">
            <v>931</v>
          </cell>
          <cell r="K378">
            <v>997</v>
          </cell>
          <cell r="L378">
            <v>1042</v>
          </cell>
          <cell r="M378">
            <v>1115</v>
          </cell>
        </row>
        <row r="379">
          <cell r="F379">
            <v>21</v>
          </cell>
          <cell r="G379" t="str">
            <v>North Country</v>
          </cell>
          <cell r="H379">
            <v>283</v>
          </cell>
          <cell r="I379">
            <v>305</v>
          </cell>
          <cell r="J379">
            <v>302</v>
          </cell>
          <cell r="K379">
            <v>295</v>
          </cell>
          <cell r="L379">
            <v>279</v>
          </cell>
          <cell r="M379">
            <v>330</v>
          </cell>
        </row>
        <row r="380">
          <cell r="F380">
            <v>22</v>
          </cell>
          <cell r="G380" t="str">
            <v>Onondaga</v>
          </cell>
          <cell r="H380">
            <v>859</v>
          </cell>
          <cell r="I380">
            <v>846</v>
          </cell>
          <cell r="J380">
            <v>860</v>
          </cell>
          <cell r="K380">
            <v>945</v>
          </cell>
          <cell r="L380">
            <v>947</v>
          </cell>
          <cell r="M380">
            <v>1073</v>
          </cell>
        </row>
        <row r="381">
          <cell r="F381">
            <v>23</v>
          </cell>
          <cell r="G381" t="str">
            <v>Orange</v>
          </cell>
          <cell r="H381">
            <v>716</v>
          </cell>
          <cell r="I381">
            <v>703</v>
          </cell>
          <cell r="J381">
            <v>723</v>
          </cell>
          <cell r="K381">
            <v>667</v>
          </cell>
          <cell r="L381">
            <v>695</v>
          </cell>
          <cell r="M381">
            <v>721</v>
          </cell>
        </row>
        <row r="382">
          <cell r="F382">
            <v>24</v>
          </cell>
          <cell r="G382" t="str">
            <v>Rockland</v>
          </cell>
          <cell r="H382">
            <v>830</v>
          </cell>
          <cell r="I382">
            <v>828</v>
          </cell>
          <cell r="J382">
            <v>784</v>
          </cell>
          <cell r="K382">
            <v>775</v>
          </cell>
          <cell r="L382">
            <v>657</v>
          </cell>
          <cell r="M382">
            <v>957</v>
          </cell>
        </row>
        <row r="383">
          <cell r="F383">
            <v>25</v>
          </cell>
          <cell r="G383" t="str">
            <v>Schenectady</v>
          </cell>
          <cell r="H383">
            <v>486</v>
          </cell>
          <cell r="I383">
            <v>504</v>
          </cell>
          <cell r="J383">
            <v>502</v>
          </cell>
          <cell r="K383">
            <v>505</v>
          </cell>
          <cell r="L383">
            <v>484</v>
          </cell>
          <cell r="M383">
            <v>569</v>
          </cell>
        </row>
        <row r="384">
          <cell r="F384">
            <v>26</v>
          </cell>
          <cell r="G384" t="str">
            <v>Suffolk</v>
          </cell>
          <cell r="H384">
            <v>2548</v>
          </cell>
          <cell r="I384">
            <v>2552</v>
          </cell>
          <cell r="J384">
            <v>2708</v>
          </cell>
          <cell r="K384">
            <v>2788</v>
          </cell>
          <cell r="L384">
            <v>2702</v>
          </cell>
          <cell r="M384">
            <v>2770</v>
          </cell>
        </row>
        <row r="385">
          <cell r="F385">
            <v>27</v>
          </cell>
          <cell r="G385" t="str">
            <v>Sullivan</v>
          </cell>
          <cell r="H385">
            <v>211</v>
          </cell>
          <cell r="I385">
            <v>214</v>
          </cell>
          <cell r="J385">
            <v>251</v>
          </cell>
          <cell r="K385">
            <v>221</v>
          </cell>
          <cell r="L385">
            <v>254</v>
          </cell>
          <cell r="M385">
            <v>207</v>
          </cell>
        </row>
        <row r="386">
          <cell r="F386">
            <v>28</v>
          </cell>
          <cell r="G386" t="str">
            <v>Tompkins-Cortland</v>
          </cell>
          <cell r="H386">
            <v>507</v>
          </cell>
          <cell r="I386">
            <v>582</v>
          </cell>
          <cell r="J386">
            <v>525</v>
          </cell>
          <cell r="K386">
            <v>508</v>
          </cell>
          <cell r="L386">
            <v>553</v>
          </cell>
          <cell r="M386">
            <v>620</v>
          </cell>
        </row>
        <row r="387">
          <cell r="F387">
            <v>29</v>
          </cell>
          <cell r="G387" t="str">
            <v>Ulster</v>
          </cell>
          <cell r="H387">
            <v>367</v>
          </cell>
          <cell r="I387">
            <v>418</v>
          </cell>
          <cell r="J387">
            <v>389</v>
          </cell>
          <cell r="K387">
            <v>414</v>
          </cell>
          <cell r="L387">
            <v>426</v>
          </cell>
          <cell r="M387">
            <v>425</v>
          </cell>
        </row>
        <row r="388">
          <cell r="F388">
            <v>30</v>
          </cell>
          <cell r="G388" t="str">
            <v>Westchester</v>
          </cell>
          <cell r="H388">
            <v>1192</v>
          </cell>
          <cell r="I388">
            <v>1175</v>
          </cell>
          <cell r="J388">
            <v>1150</v>
          </cell>
          <cell r="K388">
            <v>1156</v>
          </cell>
          <cell r="L388">
            <v>1207</v>
          </cell>
          <cell r="M388">
            <v>1328</v>
          </cell>
        </row>
        <row r="390">
          <cell r="F390">
            <v>0</v>
          </cell>
          <cell r="G390" t="str">
            <v>Community Colleges</v>
          </cell>
          <cell r="H390">
            <v>15745</v>
          </cell>
          <cell r="I390">
            <v>15634</v>
          </cell>
          <cell r="J390">
            <v>15521</v>
          </cell>
          <cell r="K390">
            <v>15334</v>
          </cell>
          <cell r="L390">
            <v>15711</v>
          </cell>
          <cell r="M390">
            <v>16635</v>
          </cell>
        </row>
        <row r="391">
          <cell r="F391">
            <v>1</v>
          </cell>
          <cell r="G391" t="str">
            <v>Adirondack</v>
          </cell>
          <cell r="H391">
            <v>309</v>
          </cell>
          <cell r="I391">
            <v>302</v>
          </cell>
          <cell r="J391">
            <v>317</v>
          </cell>
          <cell r="K391">
            <v>267</v>
          </cell>
          <cell r="L391">
            <v>256</v>
          </cell>
          <cell r="M391">
            <v>289</v>
          </cell>
        </row>
        <row r="392">
          <cell r="F392">
            <v>2</v>
          </cell>
          <cell r="G392" t="str">
            <v>Broome</v>
          </cell>
          <cell r="H392">
            <v>518</v>
          </cell>
          <cell r="I392">
            <v>495</v>
          </cell>
          <cell r="J392">
            <v>519</v>
          </cell>
          <cell r="K392">
            <v>506</v>
          </cell>
          <cell r="L392">
            <v>541</v>
          </cell>
          <cell r="M392">
            <v>582</v>
          </cell>
        </row>
        <row r="393">
          <cell r="F393">
            <v>3</v>
          </cell>
          <cell r="G393" t="str">
            <v>Cayuga</v>
          </cell>
          <cell r="H393">
            <v>336</v>
          </cell>
          <cell r="I393">
            <v>326</v>
          </cell>
          <cell r="J393">
            <v>315</v>
          </cell>
          <cell r="K393">
            <v>294</v>
          </cell>
          <cell r="L393">
            <v>230</v>
          </cell>
          <cell r="M393">
            <v>324</v>
          </cell>
        </row>
        <row r="394">
          <cell r="F394">
            <v>4</v>
          </cell>
          <cell r="G394" t="str">
            <v>Clinton</v>
          </cell>
          <cell r="H394">
            <v>182</v>
          </cell>
          <cell r="I394">
            <v>152</v>
          </cell>
          <cell r="J394">
            <v>128</v>
          </cell>
          <cell r="K394">
            <v>161</v>
          </cell>
          <cell r="L394">
            <v>149</v>
          </cell>
          <cell r="M394">
            <v>158</v>
          </cell>
        </row>
        <row r="395">
          <cell r="F395">
            <v>5</v>
          </cell>
          <cell r="G395" t="str">
            <v>Columbia-Greene</v>
          </cell>
          <cell r="H395">
            <v>221</v>
          </cell>
          <cell r="I395">
            <v>207</v>
          </cell>
          <cell r="J395">
            <v>219</v>
          </cell>
          <cell r="K395">
            <v>227</v>
          </cell>
          <cell r="L395">
            <v>213</v>
          </cell>
          <cell r="M395">
            <v>236</v>
          </cell>
        </row>
        <row r="396">
          <cell r="F396">
            <v>6</v>
          </cell>
          <cell r="G396" t="str">
            <v>Corning</v>
          </cell>
          <cell r="H396">
            <v>363</v>
          </cell>
          <cell r="I396">
            <v>403</v>
          </cell>
          <cell r="J396">
            <v>365</v>
          </cell>
          <cell r="K396">
            <v>351</v>
          </cell>
          <cell r="L396">
            <v>320</v>
          </cell>
          <cell r="M396">
            <v>358</v>
          </cell>
        </row>
        <row r="397">
          <cell r="F397">
            <v>7</v>
          </cell>
          <cell r="G397" t="str">
            <v>Dutchess</v>
          </cell>
          <cell r="H397">
            <v>523</v>
          </cell>
          <cell r="I397">
            <v>588</v>
          </cell>
          <cell r="J397">
            <v>622</v>
          </cell>
          <cell r="K397">
            <v>634</v>
          </cell>
          <cell r="L397">
            <v>670</v>
          </cell>
          <cell r="M397">
            <v>681</v>
          </cell>
        </row>
        <row r="398">
          <cell r="F398">
            <v>8</v>
          </cell>
          <cell r="G398" t="str">
            <v>Erie</v>
          </cell>
          <cell r="H398">
            <v>972</v>
          </cell>
          <cell r="I398">
            <v>903</v>
          </cell>
          <cell r="J398">
            <v>864</v>
          </cell>
          <cell r="K398">
            <v>903</v>
          </cell>
          <cell r="L398">
            <v>950</v>
          </cell>
          <cell r="M398">
            <v>962</v>
          </cell>
        </row>
        <row r="399">
          <cell r="F399">
            <v>9</v>
          </cell>
          <cell r="G399" t="str">
            <v>Fashion Institute</v>
          </cell>
          <cell r="H399">
            <v>0</v>
          </cell>
          <cell r="I399">
            <v>0</v>
          </cell>
          <cell r="J399">
            <v>0</v>
          </cell>
          <cell r="K399">
            <v>0</v>
          </cell>
          <cell r="L399">
            <v>0</v>
          </cell>
          <cell r="M399">
            <v>0</v>
          </cell>
        </row>
        <row r="400">
          <cell r="F400">
            <v>10</v>
          </cell>
          <cell r="G400" t="str">
            <v>Finger Lakes</v>
          </cell>
          <cell r="H400">
            <v>388</v>
          </cell>
          <cell r="I400">
            <v>425</v>
          </cell>
          <cell r="J400">
            <v>392</v>
          </cell>
          <cell r="K400">
            <v>428</v>
          </cell>
          <cell r="L400">
            <v>449</v>
          </cell>
          <cell r="M400">
            <v>477</v>
          </cell>
        </row>
        <row r="401">
          <cell r="F401">
            <v>11</v>
          </cell>
          <cell r="G401" t="str">
            <v>Fulton-Montgomery</v>
          </cell>
          <cell r="H401">
            <v>192</v>
          </cell>
          <cell r="I401">
            <v>182</v>
          </cell>
          <cell r="J401">
            <v>167</v>
          </cell>
          <cell r="K401">
            <v>172</v>
          </cell>
          <cell r="L401">
            <v>200</v>
          </cell>
          <cell r="M401">
            <v>229</v>
          </cell>
        </row>
        <row r="402">
          <cell r="F402">
            <v>12</v>
          </cell>
          <cell r="G402" t="str">
            <v>Genesee</v>
          </cell>
          <cell r="H402">
            <v>392</v>
          </cell>
          <cell r="I402">
            <v>403</v>
          </cell>
          <cell r="J402">
            <v>408</v>
          </cell>
          <cell r="K402">
            <v>333</v>
          </cell>
          <cell r="L402">
            <v>409</v>
          </cell>
          <cell r="M402">
            <v>359</v>
          </cell>
        </row>
        <row r="403">
          <cell r="F403">
            <v>13</v>
          </cell>
          <cell r="G403" t="str">
            <v>Herkimer</v>
          </cell>
          <cell r="H403">
            <v>302</v>
          </cell>
          <cell r="I403">
            <v>308</v>
          </cell>
          <cell r="J403">
            <v>296</v>
          </cell>
          <cell r="K403">
            <v>256</v>
          </cell>
          <cell r="L403">
            <v>267</v>
          </cell>
          <cell r="M403">
            <v>316</v>
          </cell>
        </row>
        <row r="404">
          <cell r="F404">
            <v>14</v>
          </cell>
          <cell r="G404" t="str">
            <v>Hudson Valley</v>
          </cell>
          <cell r="H404">
            <v>668</v>
          </cell>
          <cell r="I404">
            <v>644</v>
          </cell>
          <cell r="J404">
            <v>688</v>
          </cell>
          <cell r="K404">
            <v>676</v>
          </cell>
          <cell r="L404">
            <v>718</v>
          </cell>
          <cell r="M404">
            <v>759</v>
          </cell>
        </row>
        <row r="405">
          <cell r="F405">
            <v>15</v>
          </cell>
          <cell r="G405" t="str">
            <v>Jamestown</v>
          </cell>
          <cell r="H405">
            <v>491</v>
          </cell>
          <cell r="I405">
            <v>456</v>
          </cell>
          <cell r="J405">
            <v>451</v>
          </cell>
          <cell r="K405">
            <v>438</v>
          </cell>
          <cell r="L405">
            <v>431</v>
          </cell>
          <cell r="M405">
            <v>457</v>
          </cell>
        </row>
        <row r="406">
          <cell r="F406">
            <v>16</v>
          </cell>
          <cell r="G406" t="str">
            <v>Jefferson</v>
          </cell>
          <cell r="H406">
            <v>398</v>
          </cell>
          <cell r="I406">
            <v>394</v>
          </cell>
          <cell r="J406">
            <v>360</v>
          </cell>
          <cell r="K406">
            <v>333</v>
          </cell>
          <cell r="L406">
            <v>333</v>
          </cell>
          <cell r="M406">
            <v>339</v>
          </cell>
        </row>
        <row r="407">
          <cell r="F407">
            <v>17</v>
          </cell>
          <cell r="G407" t="str">
            <v>Mohawk Valley</v>
          </cell>
          <cell r="H407">
            <v>286</v>
          </cell>
          <cell r="I407">
            <v>261</v>
          </cell>
          <cell r="J407">
            <v>295</v>
          </cell>
          <cell r="K407">
            <v>261</v>
          </cell>
          <cell r="L407">
            <v>303</v>
          </cell>
          <cell r="M407">
            <v>305</v>
          </cell>
        </row>
        <row r="408">
          <cell r="F408">
            <v>18</v>
          </cell>
          <cell r="G408" t="str">
            <v>Monroe</v>
          </cell>
          <cell r="H408">
            <v>1748</v>
          </cell>
          <cell r="I408">
            <v>1723</v>
          </cell>
          <cell r="J408">
            <v>1702</v>
          </cell>
          <cell r="K408">
            <v>1601</v>
          </cell>
          <cell r="L408">
            <v>1774</v>
          </cell>
          <cell r="M408">
            <v>1883</v>
          </cell>
        </row>
        <row r="409">
          <cell r="F409">
            <v>19</v>
          </cell>
          <cell r="G409" t="str">
            <v>Nassau</v>
          </cell>
          <cell r="H409">
            <v>2273</v>
          </cell>
          <cell r="I409">
            <v>2309</v>
          </cell>
          <cell r="J409">
            <v>2171</v>
          </cell>
          <cell r="K409">
            <v>2231</v>
          </cell>
          <cell r="L409">
            <v>2219</v>
          </cell>
          <cell r="M409">
            <v>2125</v>
          </cell>
        </row>
        <row r="410">
          <cell r="F410">
            <v>20</v>
          </cell>
          <cell r="G410" t="str">
            <v>Niagara</v>
          </cell>
          <cell r="H410">
            <v>500</v>
          </cell>
          <cell r="I410">
            <v>511</v>
          </cell>
          <cell r="J410">
            <v>514</v>
          </cell>
          <cell r="K410">
            <v>533</v>
          </cell>
          <cell r="L410">
            <v>492</v>
          </cell>
          <cell r="M410">
            <v>515</v>
          </cell>
        </row>
        <row r="411">
          <cell r="F411">
            <v>21</v>
          </cell>
          <cell r="G411" t="str">
            <v>North Country</v>
          </cell>
          <cell r="H411">
            <v>84</v>
          </cell>
          <cell r="I411">
            <v>93</v>
          </cell>
          <cell r="J411">
            <v>72</v>
          </cell>
          <cell r="K411">
            <v>78</v>
          </cell>
          <cell r="L411">
            <v>73</v>
          </cell>
          <cell r="M411">
            <v>68</v>
          </cell>
        </row>
        <row r="412">
          <cell r="F412">
            <v>22</v>
          </cell>
          <cell r="G412" t="str">
            <v>Onondaga</v>
          </cell>
          <cell r="H412">
            <v>507</v>
          </cell>
          <cell r="I412">
            <v>472</v>
          </cell>
          <cell r="J412">
            <v>510</v>
          </cell>
          <cell r="K412">
            <v>498</v>
          </cell>
          <cell r="L412">
            <v>536</v>
          </cell>
          <cell r="M412">
            <v>637</v>
          </cell>
        </row>
        <row r="413">
          <cell r="F413">
            <v>23</v>
          </cell>
          <cell r="G413" t="str">
            <v>Orange</v>
          </cell>
          <cell r="H413">
            <v>402</v>
          </cell>
          <cell r="I413">
            <v>337</v>
          </cell>
          <cell r="J413">
            <v>374</v>
          </cell>
          <cell r="K413">
            <v>332</v>
          </cell>
          <cell r="L413">
            <v>375</v>
          </cell>
          <cell r="M413">
            <v>422</v>
          </cell>
        </row>
        <row r="414">
          <cell r="F414">
            <v>24</v>
          </cell>
          <cell r="G414" t="str">
            <v>Rockland</v>
          </cell>
          <cell r="H414">
            <v>623</v>
          </cell>
          <cell r="I414">
            <v>648</v>
          </cell>
          <cell r="J414">
            <v>618</v>
          </cell>
          <cell r="K414">
            <v>619</v>
          </cell>
          <cell r="L414">
            <v>525</v>
          </cell>
          <cell r="M414">
            <v>719</v>
          </cell>
        </row>
        <row r="415">
          <cell r="F415">
            <v>25</v>
          </cell>
          <cell r="G415" t="str">
            <v>Schenectady</v>
          </cell>
          <cell r="H415">
            <v>165</v>
          </cell>
          <cell r="I415">
            <v>183</v>
          </cell>
          <cell r="J415">
            <v>168</v>
          </cell>
          <cell r="K415">
            <v>169</v>
          </cell>
          <cell r="L415">
            <v>166</v>
          </cell>
          <cell r="M415">
            <v>206</v>
          </cell>
        </row>
        <row r="416">
          <cell r="F416">
            <v>26</v>
          </cell>
          <cell r="G416" t="str">
            <v>Suffolk</v>
          </cell>
          <cell r="H416">
            <v>1697</v>
          </cell>
          <cell r="I416">
            <v>1642</v>
          </cell>
          <cell r="J416">
            <v>1768</v>
          </cell>
          <cell r="K416">
            <v>1825</v>
          </cell>
          <cell r="L416">
            <v>1799</v>
          </cell>
          <cell r="M416">
            <v>1828</v>
          </cell>
        </row>
        <row r="417">
          <cell r="F417">
            <v>27</v>
          </cell>
          <cell r="G417" t="str">
            <v>Sullivan</v>
          </cell>
          <cell r="H417">
            <v>107</v>
          </cell>
          <cell r="I417">
            <v>85</v>
          </cell>
          <cell r="J417">
            <v>111</v>
          </cell>
          <cell r="K417">
            <v>81</v>
          </cell>
          <cell r="L417">
            <v>96</v>
          </cell>
          <cell r="M417">
            <v>91</v>
          </cell>
        </row>
        <row r="418">
          <cell r="F418">
            <v>28</v>
          </cell>
          <cell r="G418" t="str">
            <v>Tompkins-Cortland</v>
          </cell>
          <cell r="H418">
            <v>242</v>
          </cell>
          <cell r="I418">
            <v>292</v>
          </cell>
          <cell r="J418">
            <v>281</v>
          </cell>
          <cell r="K418">
            <v>276</v>
          </cell>
          <cell r="L418">
            <v>315</v>
          </cell>
          <cell r="M418">
            <v>344</v>
          </cell>
        </row>
        <row r="419">
          <cell r="F419">
            <v>29</v>
          </cell>
          <cell r="G419" t="str">
            <v>Ulster</v>
          </cell>
          <cell r="H419">
            <v>302</v>
          </cell>
          <cell r="I419">
            <v>345</v>
          </cell>
          <cell r="J419">
            <v>287</v>
          </cell>
          <cell r="K419">
            <v>298</v>
          </cell>
          <cell r="L419">
            <v>342</v>
          </cell>
          <cell r="M419">
            <v>339</v>
          </cell>
        </row>
        <row r="420">
          <cell r="F420">
            <v>30</v>
          </cell>
          <cell r="G420" t="str">
            <v>Westchester</v>
          </cell>
          <cell r="H420">
            <v>554</v>
          </cell>
          <cell r="I420">
            <v>545</v>
          </cell>
          <cell r="J420">
            <v>539</v>
          </cell>
          <cell r="K420">
            <v>553</v>
          </cell>
          <cell r="L420">
            <v>560</v>
          </cell>
          <cell r="M420">
            <v>627</v>
          </cell>
        </row>
        <row r="422">
          <cell r="F422">
            <v>0</v>
          </cell>
          <cell r="G422" t="str">
            <v>Community Colleges</v>
          </cell>
          <cell r="H422">
            <v>11285</v>
          </cell>
          <cell r="I422">
            <v>11828</v>
          </cell>
          <cell r="J422">
            <v>11647</v>
          </cell>
          <cell r="K422">
            <v>11550</v>
          </cell>
          <cell r="L422">
            <v>11470</v>
          </cell>
          <cell r="M422">
            <v>12235</v>
          </cell>
        </row>
        <row r="423">
          <cell r="F423">
            <v>1</v>
          </cell>
          <cell r="G423" t="str">
            <v>Adirondack</v>
          </cell>
          <cell r="H423">
            <v>168</v>
          </cell>
          <cell r="I423">
            <v>163</v>
          </cell>
          <cell r="J423">
            <v>147</v>
          </cell>
          <cell r="K423">
            <v>158</v>
          </cell>
          <cell r="L423">
            <v>159</v>
          </cell>
          <cell r="M423">
            <v>152</v>
          </cell>
        </row>
        <row r="424">
          <cell r="F424">
            <v>2</v>
          </cell>
          <cell r="G424" t="str">
            <v>Broome</v>
          </cell>
          <cell r="H424">
            <v>493</v>
          </cell>
          <cell r="I424">
            <v>453</v>
          </cell>
          <cell r="J424">
            <v>471</v>
          </cell>
          <cell r="K424">
            <v>510</v>
          </cell>
          <cell r="L424">
            <v>500</v>
          </cell>
          <cell r="M424">
            <v>521</v>
          </cell>
        </row>
        <row r="425">
          <cell r="F425">
            <v>3</v>
          </cell>
          <cell r="G425" t="str">
            <v>Cayuga</v>
          </cell>
          <cell r="H425">
            <v>249</v>
          </cell>
          <cell r="I425">
            <v>209</v>
          </cell>
          <cell r="J425">
            <v>235</v>
          </cell>
          <cell r="K425">
            <v>215</v>
          </cell>
          <cell r="L425">
            <v>176</v>
          </cell>
          <cell r="M425">
            <v>228</v>
          </cell>
        </row>
        <row r="426">
          <cell r="F426">
            <v>4</v>
          </cell>
          <cell r="G426" t="str">
            <v>Clinton</v>
          </cell>
          <cell r="H426">
            <v>169</v>
          </cell>
          <cell r="I426">
            <v>177</v>
          </cell>
          <cell r="J426">
            <v>143</v>
          </cell>
          <cell r="K426">
            <v>142</v>
          </cell>
          <cell r="L426">
            <v>123</v>
          </cell>
          <cell r="M426">
            <v>127</v>
          </cell>
        </row>
        <row r="427">
          <cell r="F427">
            <v>5</v>
          </cell>
          <cell r="G427" t="str">
            <v>Columbia-Greene</v>
          </cell>
          <cell r="H427">
            <v>78</v>
          </cell>
          <cell r="I427">
            <v>67</v>
          </cell>
          <cell r="J427">
            <v>74</v>
          </cell>
          <cell r="K427">
            <v>78</v>
          </cell>
          <cell r="L427">
            <v>59</v>
          </cell>
          <cell r="M427">
            <v>69</v>
          </cell>
        </row>
        <row r="428">
          <cell r="F428">
            <v>6</v>
          </cell>
          <cell r="G428" t="str">
            <v>Corning</v>
          </cell>
          <cell r="H428">
            <v>304</v>
          </cell>
          <cell r="I428">
            <v>298</v>
          </cell>
          <cell r="J428">
            <v>327</v>
          </cell>
          <cell r="K428">
            <v>290</v>
          </cell>
          <cell r="L428">
            <v>256</v>
          </cell>
          <cell r="M428">
            <v>255</v>
          </cell>
        </row>
        <row r="429">
          <cell r="F429">
            <v>7</v>
          </cell>
          <cell r="G429" t="str">
            <v>Dutchess</v>
          </cell>
          <cell r="H429">
            <v>282</v>
          </cell>
          <cell r="I429">
            <v>317</v>
          </cell>
          <cell r="J429">
            <v>295</v>
          </cell>
          <cell r="K429">
            <v>231</v>
          </cell>
          <cell r="L429">
            <v>277</v>
          </cell>
          <cell r="M429">
            <v>277</v>
          </cell>
        </row>
        <row r="430">
          <cell r="F430">
            <v>8</v>
          </cell>
          <cell r="G430" t="str">
            <v>Erie</v>
          </cell>
          <cell r="H430">
            <v>879</v>
          </cell>
          <cell r="I430">
            <v>887</v>
          </cell>
          <cell r="J430">
            <v>806</v>
          </cell>
          <cell r="K430">
            <v>871</v>
          </cell>
          <cell r="L430">
            <v>844</v>
          </cell>
          <cell r="M430">
            <v>880</v>
          </cell>
        </row>
        <row r="431">
          <cell r="F431">
            <v>9</v>
          </cell>
          <cell r="G431" t="str">
            <v>Fashion Institute</v>
          </cell>
          <cell r="H431">
            <v>1375</v>
          </cell>
          <cell r="I431">
            <v>1687</v>
          </cell>
          <cell r="J431">
            <v>1762</v>
          </cell>
          <cell r="K431">
            <v>1610</v>
          </cell>
          <cell r="L431">
            <v>1861</v>
          </cell>
          <cell r="M431">
            <v>1914</v>
          </cell>
        </row>
        <row r="432">
          <cell r="F432">
            <v>10</v>
          </cell>
          <cell r="G432" t="str">
            <v>Finger Lakes</v>
          </cell>
          <cell r="H432">
            <v>328</v>
          </cell>
          <cell r="I432">
            <v>315</v>
          </cell>
          <cell r="J432">
            <v>304</v>
          </cell>
          <cell r="K432">
            <v>318</v>
          </cell>
          <cell r="L432">
            <v>327</v>
          </cell>
          <cell r="M432">
            <v>366</v>
          </cell>
        </row>
        <row r="433">
          <cell r="F433">
            <v>11</v>
          </cell>
          <cell r="G433" t="str">
            <v>Fulton-Montgomery</v>
          </cell>
          <cell r="H433">
            <v>150</v>
          </cell>
          <cell r="I433">
            <v>175</v>
          </cell>
          <cell r="J433">
            <v>142</v>
          </cell>
          <cell r="K433">
            <v>153</v>
          </cell>
          <cell r="L433">
            <v>148</v>
          </cell>
          <cell r="M433">
            <v>173</v>
          </cell>
        </row>
        <row r="434">
          <cell r="F434">
            <v>12</v>
          </cell>
          <cell r="G434" t="str">
            <v>Genesee</v>
          </cell>
          <cell r="H434">
            <v>257</v>
          </cell>
          <cell r="I434">
            <v>294</v>
          </cell>
          <cell r="J434">
            <v>322</v>
          </cell>
          <cell r="K434">
            <v>279</v>
          </cell>
          <cell r="L434">
            <v>329</v>
          </cell>
          <cell r="M434">
            <v>382</v>
          </cell>
        </row>
        <row r="435">
          <cell r="F435">
            <v>13</v>
          </cell>
          <cell r="G435" t="str">
            <v>Herkimer</v>
          </cell>
          <cell r="H435">
            <v>252</v>
          </cell>
          <cell r="I435">
            <v>269</v>
          </cell>
          <cell r="J435">
            <v>249</v>
          </cell>
          <cell r="K435">
            <v>255</v>
          </cell>
          <cell r="L435">
            <v>247</v>
          </cell>
          <cell r="M435">
            <v>226</v>
          </cell>
        </row>
        <row r="436">
          <cell r="F436">
            <v>14</v>
          </cell>
          <cell r="G436" t="str">
            <v>Hudson Valley</v>
          </cell>
          <cell r="H436">
            <v>895</v>
          </cell>
          <cell r="I436">
            <v>915</v>
          </cell>
          <cell r="J436">
            <v>968</v>
          </cell>
          <cell r="K436">
            <v>1035</v>
          </cell>
          <cell r="L436">
            <v>862</v>
          </cell>
          <cell r="M436">
            <v>1004</v>
          </cell>
        </row>
        <row r="437">
          <cell r="F437">
            <v>15</v>
          </cell>
          <cell r="G437" t="str">
            <v>Jamestown</v>
          </cell>
          <cell r="H437">
            <v>226</v>
          </cell>
          <cell r="I437">
            <v>227</v>
          </cell>
          <cell r="J437">
            <v>255</v>
          </cell>
          <cell r="K437">
            <v>200</v>
          </cell>
          <cell r="L437">
            <v>219</v>
          </cell>
          <cell r="M437">
            <v>251</v>
          </cell>
        </row>
        <row r="438">
          <cell r="F438">
            <v>16</v>
          </cell>
          <cell r="G438" t="str">
            <v>Jefferson</v>
          </cell>
          <cell r="H438">
            <v>162</v>
          </cell>
          <cell r="I438">
            <v>183</v>
          </cell>
          <cell r="J438">
            <v>171</v>
          </cell>
          <cell r="K438">
            <v>154</v>
          </cell>
          <cell r="L438">
            <v>131</v>
          </cell>
          <cell r="M438">
            <v>130</v>
          </cell>
        </row>
        <row r="439">
          <cell r="F439">
            <v>17</v>
          </cell>
          <cell r="G439" t="str">
            <v>Mohawk Valley</v>
          </cell>
          <cell r="H439">
            <v>486</v>
          </cell>
          <cell r="I439">
            <v>524</v>
          </cell>
          <cell r="J439">
            <v>431</v>
          </cell>
          <cell r="K439">
            <v>472</v>
          </cell>
          <cell r="L439">
            <v>423</v>
          </cell>
          <cell r="M439">
            <v>486</v>
          </cell>
        </row>
        <row r="440">
          <cell r="F440">
            <v>18</v>
          </cell>
          <cell r="G440" t="str">
            <v>Monroe</v>
          </cell>
          <cell r="H440">
            <v>769</v>
          </cell>
          <cell r="I440">
            <v>719</v>
          </cell>
          <cell r="J440">
            <v>717</v>
          </cell>
          <cell r="K440">
            <v>719</v>
          </cell>
          <cell r="L440">
            <v>703</v>
          </cell>
          <cell r="M440">
            <v>735</v>
          </cell>
        </row>
        <row r="441">
          <cell r="F441">
            <v>19</v>
          </cell>
          <cell r="G441" t="str">
            <v>Nassau</v>
          </cell>
          <cell r="H441">
            <v>544</v>
          </cell>
          <cell r="I441">
            <v>550</v>
          </cell>
          <cell r="J441">
            <v>542</v>
          </cell>
          <cell r="K441">
            <v>477</v>
          </cell>
          <cell r="L441">
            <v>484</v>
          </cell>
          <cell r="M441">
            <v>447</v>
          </cell>
        </row>
        <row r="442">
          <cell r="F442">
            <v>20</v>
          </cell>
          <cell r="G442" t="str">
            <v>Niagara</v>
          </cell>
          <cell r="H442">
            <v>300</v>
          </cell>
          <cell r="I442">
            <v>321</v>
          </cell>
          <cell r="J442">
            <v>303</v>
          </cell>
          <cell r="K442">
            <v>332</v>
          </cell>
          <cell r="L442">
            <v>384</v>
          </cell>
          <cell r="M442">
            <v>448</v>
          </cell>
        </row>
        <row r="443">
          <cell r="F443">
            <v>21</v>
          </cell>
          <cell r="G443" t="str">
            <v>North Country</v>
          </cell>
          <cell r="H443">
            <v>142</v>
          </cell>
          <cell r="I443">
            <v>155</v>
          </cell>
          <cell r="J443">
            <v>158</v>
          </cell>
          <cell r="K443">
            <v>138</v>
          </cell>
          <cell r="L443">
            <v>142</v>
          </cell>
          <cell r="M443">
            <v>181</v>
          </cell>
        </row>
        <row r="444">
          <cell r="F444">
            <v>22</v>
          </cell>
          <cell r="G444" t="str">
            <v>Onondaga</v>
          </cell>
          <cell r="H444">
            <v>316</v>
          </cell>
          <cell r="I444">
            <v>329</v>
          </cell>
          <cell r="J444">
            <v>317</v>
          </cell>
          <cell r="K444">
            <v>372</v>
          </cell>
          <cell r="L444">
            <v>359</v>
          </cell>
          <cell r="M444">
            <v>399</v>
          </cell>
        </row>
        <row r="445">
          <cell r="F445">
            <v>23</v>
          </cell>
          <cell r="G445" t="str">
            <v>Orange</v>
          </cell>
          <cell r="H445">
            <v>300</v>
          </cell>
          <cell r="I445">
            <v>352</v>
          </cell>
          <cell r="J445">
            <v>336</v>
          </cell>
          <cell r="K445">
            <v>323</v>
          </cell>
          <cell r="L445">
            <v>310</v>
          </cell>
          <cell r="M445">
            <v>286</v>
          </cell>
        </row>
        <row r="446">
          <cell r="F446">
            <v>24</v>
          </cell>
          <cell r="G446" t="str">
            <v>Rockland</v>
          </cell>
          <cell r="H446">
            <v>178</v>
          </cell>
          <cell r="I446">
            <v>152</v>
          </cell>
          <cell r="J446">
            <v>139</v>
          </cell>
          <cell r="K446">
            <v>133</v>
          </cell>
          <cell r="L446">
            <v>119</v>
          </cell>
          <cell r="M446">
            <v>181</v>
          </cell>
        </row>
        <row r="447">
          <cell r="F447">
            <v>25</v>
          </cell>
          <cell r="G447" t="str">
            <v>Schenectady</v>
          </cell>
          <cell r="H447">
            <v>274</v>
          </cell>
          <cell r="I447">
            <v>278</v>
          </cell>
          <cell r="J447">
            <v>278</v>
          </cell>
          <cell r="K447">
            <v>283</v>
          </cell>
          <cell r="L447">
            <v>271</v>
          </cell>
          <cell r="M447">
            <v>293</v>
          </cell>
        </row>
        <row r="448">
          <cell r="F448">
            <v>26</v>
          </cell>
          <cell r="G448" t="str">
            <v>Suffolk</v>
          </cell>
          <cell r="H448">
            <v>807</v>
          </cell>
          <cell r="I448">
            <v>856</v>
          </cell>
          <cell r="J448">
            <v>891</v>
          </cell>
          <cell r="K448">
            <v>901</v>
          </cell>
          <cell r="L448">
            <v>819</v>
          </cell>
          <cell r="M448">
            <v>852</v>
          </cell>
        </row>
        <row r="449">
          <cell r="F449">
            <v>27</v>
          </cell>
          <cell r="G449" t="str">
            <v>Sullivan</v>
          </cell>
          <cell r="H449">
            <v>95</v>
          </cell>
          <cell r="I449">
            <v>118</v>
          </cell>
          <cell r="J449">
            <v>136</v>
          </cell>
          <cell r="K449">
            <v>137</v>
          </cell>
          <cell r="L449">
            <v>157</v>
          </cell>
          <cell r="M449">
            <v>116</v>
          </cell>
        </row>
        <row r="450">
          <cell r="F450">
            <v>28</v>
          </cell>
          <cell r="G450" t="str">
            <v>Tompkins-Cortland</v>
          </cell>
          <cell r="H450">
            <v>257</v>
          </cell>
          <cell r="I450">
            <v>285</v>
          </cell>
          <cell r="J450">
            <v>238</v>
          </cell>
          <cell r="K450">
            <v>228</v>
          </cell>
          <cell r="L450">
            <v>236</v>
          </cell>
          <cell r="M450">
            <v>270</v>
          </cell>
        </row>
        <row r="451">
          <cell r="F451">
            <v>29</v>
          </cell>
          <cell r="G451" t="str">
            <v>Ulster</v>
          </cell>
          <cell r="H451">
            <v>39</v>
          </cell>
          <cell r="I451">
            <v>40</v>
          </cell>
          <cell r="J451">
            <v>34</v>
          </cell>
          <cell r="K451">
            <v>55</v>
          </cell>
          <cell r="L451">
            <v>49</v>
          </cell>
          <cell r="M451">
            <v>42</v>
          </cell>
        </row>
        <row r="452">
          <cell r="F452">
            <v>30</v>
          </cell>
          <cell r="G452" t="str">
            <v>Westchester</v>
          </cell>
          <cell r="H452">
            <v>511</v>
          </cell>
          <cell r="I452">
            <v>513</v>
          </cell>
          <cell r="J452">
            <v>456</v>
          </cell>
          <cell r="K452">
            <v>481</v>
          </cell>
          <cell r="L452">
            <v>496</v>
          </cell>
          <cell r="M452">
            <v>544</v>
          </cell>
        </row>
        <row r="454">
          <cell r="F454">
            <v>0</v>
          </cell>
          <cell r="G454" t="str">
            <v>Community Colleges</v>
          </cell>
          <cell r="H454">
            <v>1430</v>
          </cell>
          <cell r="I454">
            <v>1478</v>
          </cell>
          <cell r="J454">
            <v>1709</v>
          </cell>
          <cell r="K454">
            <v>1676</v>
          </cell>
          <cell r="L454">
            <v>1697</v>
          </cell>
          <cell r="M454">
            <v>2181</v>
          </cell>
        </row>
        <row r="455">
          <cell r="F455">
            <v>1</v>
          </cell>
          <cell r="G455" t="str">
            <v>Adirondack</v>
          </cell>
          <cell r="H455">
            <v>16</v>
          </cell>
          <cell r="I455">
            <v>16</v>
          </cell>
          <cell r="J455">
            <v>24</v>
          </cell>
          <cell r="K455">
            <v>14</v>
          </cell>
          <cell r="L455">
            <v>13</v>
          </cell>
          <cell r="M455">
            <v>16</v>
          </cell>
        </row>
        <row r="456">
          <cell r="F456">
            <v>2</v>
          </cell>
          <cell r="G456" t="str">
            <v>Broome</v>
          </cell>
          <cell r="H456">
            <v>34</v>
          </cell>
          <cell r="I456">
            <v>33</v>
          </cell>
          <cell r="J456">
            <v>35</v>
          </cell>
          <cell r="K456">
            <v>47</v>
          </cell>
          <cell r="L456">
            <v>43</v>
          </cell>
          <cell r="M456">
            <v>61</v>
          </cell>
        </row>
        <row r="457">
          <cell r="F457">
            <v>3</v>
          </cell>
          <cell r="G457" t="str">
            <v>Cayuga</v>
          </cell>
          <cell r="H457">
            <v>8</v>
          </cell>
          <cell r="I457">
            <v>5</v>
          </cell>
          <cell r="J457">
            <v>6</v>
          </cell>
          <cell r="K457">
            <v>6</v>
          </cell>
          <cell r="L457">
            <v>3</v>
          </cell>
          <cell r="M457">
            <v>4</v>
          </cell>
        </row>
        <row r="458">
          <cell r="F458">
            <v>4</v>
          </cell>
          <cell r="G458" t="str">
            <v>Clinton</v>
          </cell>
          <cell r="H458">
            <v>7</v>
          </cell>
          <cell r="I458">
            <v>4</v>
          </cell>
          <cell r="J458">
            <v>19</v>
          </cell>
          <cell r="K458">
            <v>8</v>
          </cell>
          <cell r="L458">
            <v>14</v>
          </cell>
          <cell r="M458">
            <v>9</v>
          </cell>
        </row>
        <row r="459">
          <cell r="F459">
            <v>5</v>
          </cell>
          <cell r="G459" t="str">
            <v>Columbia-Greene</v>
          </cell>
          <cell r="H459">
            <v>13</v>
          </cell>
          <cell r="I459">
            <v>25</v>
          </cell>
          <cell r="J459">
            <v>24</v>
          </cell>
          <cell r="K459">
            <v>33</v>
          </cell>
          <cell r="L459">
            <v>22</v>
          </cell>
          <cell r="M459">
            <v>31</v>
          </cell>
        </row>
        <row r="460">
          <cell r="F460">
            <v>6</v>
          </cell>
          <cell r="G460" t="str">
            <v>Corning</v>
          </cell>
          <cell r="H460">
            <v>25</v>
          </cell>
          <cell r="I460">
            <v>44</v>
          </cell>
          <cell r="J460">
            <v>33</v>
          </cell>
          <cell r="K460">
            <v>16</v>
          </cell>
          <cell r="L460">
            <v>17</v>
          </cell>
          <cell r="M460">
            <v>55</v>
          </cell>
        </row>
        <row r="461">
          <cell r="F461">
            <v>7</v>
          </cell>
          <cell r="G461" t="str">
            <v>Dutchess</v>
          </cell>
          <cell r="H461">
            <v>72</v>
          </cell>
          <cell r="I461">
            <v>67</v>
          </cell>
          <cell r="J461">
            <v>76</v>
          </cell>
          <cell r="K461">
            <v>65</v>
          </cell>
          <cell r="L461">
            <v>110</v>
          </cell>
          <cell r="M461">
            <v>100</v>
          </cell>
        </row>
        <row r="462">
          <cell r="F462">
            <v>8</v>
          </cell>
          <cell r="G462" t="str">
            <v>Erie</v>
          </cell>
          <cell r="H462">
            <v>69</v>
          </cell>
          <cell r="I462">
            <v>105</v>
          </cell>
          <cell r="J462">
            <v>144</v>
          </cell>
          <cell r="K462">
            <v>130</v>
          </cell>
          <cell r="L462">
            <v>156</v>
          </cell>
          <cell r="M462">
            <v>208</v>
          </cell>
        </row>
        <row r="463">
          <cell r="F463">
            <v>9</v>
          </cell>
          <cell r="G463" t="str">
            <v>Fashion Institute</v>
          </cell>
          <cell r="H463">
            <v>21</v>
          </cell>
          <cell r="I463">
            <v>4</v>
          </cell>
          <cell r="J463">
            <v>22</v>
          </cell>
          <cell r="K463">
            <v>10</v>
          </cell>
          <cell r="L463">
            <v>1</v>
          </cell>
          <cell r="M463">
            <v>57</v>
          </cell>
        </row>
        <row r="464">
          <cell r="F464">
            <v>10</v>
          </cell>
          <cell r="G464" t="str">
            <v>Finger Lakes</v>
          </cell>
          <cell r="H464">
            <v>30</v>
          </cell>
          <cell r="I464">
            <v>34</v>
          </cell>
          <cell r="J464">
            <v>46</v>
          </cell>
          <cell r="K464">
            <v>27</v>
          </cell>
          <cell r="L464">
            <v>49</v>
          </cell>
          <cell r="M464">
            <v>35</v>
          </cell>
        </row>
        <row r="465">
          <cell r="F465">
            <v>11</v>
          </cell>
          <cell r="G465" t="str">
            <v>Fulton-Montgomery</v>
          </cell>
          <cell r="H465">
            <v>29</v>
          </cell>
          <cell r="I465">
            <v>38</v>
          </cell>
          <cell r="J465">
            <v>59</v>
          </cell>
          <cell r="K465">
            <v>55</v>
          </cell>
          <cell r="L465">
            <v>41</v>
          </cell>
          <cell r="M465">
            <v>49</v>
          </cell>
        </row>
        <row r="466">
          <cell r="F466">
            <v>12</v>
          </cell>
          <cell r="G466" t="str">
            <v>Genesee</v>
          </cell>
          <cell r="H466">
            <v>65</v>
          </cell>
          <cell r="I466">
            <v>57</v>
          </cell>
          <cell r="J466">
            <v>69</v>
          </cell>
          <cell r="K466">
            <v>48</v>
          </cell>
          <cell r="L466">
            <v>55</v>
          </cell>
          <cell r="M466">
            <v>65</v>
          </cell>
        </row>
        <row r="467">
          <cell r="F467">
            <v>13</v>
          </cell>
          <cell r="G467" t="str">
            <v>Herkimer</v>
          </cell>
          <cell r="H467">
            <v>8</v>
          </cell>
          <cell r="I467">
            <v>16</v>
          </cell>
          <cell r="J467">
            <v>17</v>
          </cell>
          <cell r="K467">
            <v>18</v>
          </cell>
          <cell r="L467">
            <v>30</v>
          </cell>
          <cell r="M467">
            <v>37</v>
          </cell>
        </row>
        <row r="468">
          <cell r="F468">
            <v>14</v>
          </cell>
          <cell r="G468" t="str">
            <v>Hudson Valley</v>
          </cell>
          <cell r="H468">
            <v>92</v>
          </cell>
          <cell r="I468">
            <v>97</v>
          </cell>
          <cell r="J468">
            <v>119</v>
          </cell>
          <cell r="K468">
            <v>129</v>
          </cell>
          <cell r="L468">
            <v>122</v>
          </cell>
          <cell r="M468">
            <v>165</v>
          </cell>
        </row>
        <row r="469">
          <cell r="F469">
            <v>15</v>
          </cell>
          <cell r="G469" t="str">
            <v>Jamestown</v>
          </cell>
          <cell r="H469">
            <v>26</v>
          </cell>
          <cell r="I469">
            <v>25</v>
          </cell>
          <cell r="J469">
            <v>17</v>
          </cell>
          <cell r="K469">
            <v>26</v>
          </cell>
          <cell r="L469">
            <v>24</v>
          </cell>
          <cell r="M469">
            <v>53</v>
          </cell>
        </row>
        <row r="470">
          <cell r="F470">
            <v>16</v>
          </cell>
          <cell r="G470" t="str">
            <v>Jefferson</v>
          </cell>
          <cell r="H470">
            <v>5</v>
          </cell>
          <cell r="I470">
            <v>14</v>
          </cell>
          <cell r="J470">
            <v>8</v>
          </cell>
          <cell r="K470">
            <v>13</v>
          </cell>
          <cell r="L470">
            <v>12</v>
          </cell>
          <cell r="M470">
            <v>16</v>
          </cell>
        </row>
        <row r="471">
          <cell r="F471">
            <v>17</v>
          </cell>
          <cell r="G471" t="str">
            <v>Mohawk Valley</v>
          </cell>
          <cell r="H471">
            <v>83</v>
          </cell>
          <cell r="I471">
            <v>92</v>
          </cell>
          <cell r="J471">
            <v>64</v>
          </cell>
          <cell r="K471">
            <v>87</v>
          </cell>
          <cell r="L471">
            <v>82</v>
          </cell>
          <cell r="M471">
            <v>146</v>
          </cell>
        </row>
        <row r="472">
          <cell r="F472">
            <v>18</v>
          </cell>
          <cell r="G472" t="str">
            <v>Monroe</v>
          </cell>
          <cell r="H472">
            <v>264</v>
          </cell>
          <cell r="I472">
            <v>225</v>
          </cell>
          <cell r="J472">
            <v>255</v>
          </cell>
          <cell r="K472">
            <v>232</v>
          </cell>
          <cell r="L472">
            <v>199</v>
          </cell>
          <cell r="M472">
            <v>284</v>
          </cell>
        </row>
        <row r="473">
          <cell r="F473">
            <v>19</v>
          </cell>
          <cell r="G473" t="str">
            <v>Nassau</v>
          </cell>
          <cell r="H473">
            <v>80</v>
          </cell>
          <cell r="I473">
            <v>78</v>
          </cell>
          <cell r="J473">
            <v>75</v>
          </cell>
          <cell r="K473">
            <v>86</v>
          </cell>
          <cell r="L473">
            <v>79</v>
          </cell>
          <cell r="M473">
            <v>83</v>
          </cell>
        </row>
        <row r="474">
          <cell r="F474">
            <v>20</v>
          </cell>
          <cell r="G474" t="str">
            <v>Niagara</v>
          </cell>
          <cell r="H474">
            <v>86</v>
          </cell>
          <cell r="I474">
            <v>92</v>
          </cell>
          <cell r="J474">
            <v>114</v>
          </cell>
          <cell r="K474">
            <v>132</v>
          </cell>
          <cell r="L474">
            <v>166</v>
          </cell>
          <cell r="M474">
            <v>152</v>
          </cell>
        </row>
        <row r="475">
          <cell r="F475">
            <v>21</v>
          </cell>
          <cell r="G475" t="str">
            <v>North Country</v>
          </cell>
          <cell r="H475">
            <v>57</v>
          </cell>
          <cell r="I475">
            <v>57</v>
          </cell>
          <cell r="J475">
            <v>72</v>
          </cell>
          <cell r="K475">
            <v>79</v>
          </cell>
          <cell r="L475">
            <v>64</v>
          </cell>
          <cell r="M475">
            <v>81</v>
          </cell>
        </row>
        <row r="476">
          <cell r="F476">
            <v>22</v>
          </cell>
          <cell r="G476" t="str">
            <v>Onondaga</v>
          </cell>
          <cell r="H476">
            <v>36</v>
          </cell>
          <cell r="I476">
            <v>45</v>
          </cell>
          <cell r="J476">
            <v>33</v>
          </cell>
          <cell r="K476">
            <v>75</v>
          </cell>
          <cell r="L476">
            <v>52</v>
          </cell>
          <cell r="M476">
            <v>37</v>
          </cell>
        </row>
        <row r="477">
          <cell r="F477">
            <v>23</v>
          </cell>
          <cell r="G477" t="str">
            <v>Orange</v>
          </cell>
          <cell r="H477">
            <v>14</v>
          </cell>
          <cell r="I477">
            <v>14</v>
          </cell>
          <cell r="J477">
            <v>13</v>
          </cell>
          <cell r="K477">
            <v>12</v>
          </cell>
          <cell r="L477">
            <v>10</v>
          </cell>
          <cell r="M477">
            <v>13</v>
          </cell>
        </row>
        <row r="478">
          <cell r="F478">
            <v>24</v>
          </cell>
          <cell r="G478" t="str">
            <v>Rockland</v>
          </cell>
          <cell r="H478">
            <v>29</v>
          </cell>
          <cell r="I478">
            <v>28</v>
          </cell>
          <cell r="J478">
            <v>27</v>
          </cell>
          <cell r="K478">
            <v>23</v>
          </cell>
          <cell r="L478">
            <v>13</v>
          </cell>
          <cell r="M478">
            <v>57</v>
          </cell>
        </row>
        <row r="479">
          <cell r="F479">
            <v>25</v>
          </cell>
          <cell r="G479" t="str">
            <v>Schenectady</v>
          </cell>
          <cell r="H479">
            <v>47</v>
          </cell>
          <cell r="I479">
            <v>43</v>
          </cell>
          <cell r="J479">
            <v>56</v>
          </cell>
          <cell r="K479">
            <v>53</v>
          </cell>
          <cell r="L479">
            <v>47</v>
          </cell>
          <cell r="M479">
            <v>70</v>
          </cell>
        </row>
        <row r="480">
          <cell r="F480">
            <v>26</v>
          </cell>
          <cell r="G480" t="str">
            <v>Suffolk</v>
          </cell>
          <cell r="H480">
            <v>44</v>
          </cell>
          <cell r="I480">
            <v>54</v>
          </cell>
          <cell r="J480">
            <v>49</v>
          </cell>
          <cell r="K480">
            <v>62</v>
          </cell>
          <cell r="L480">
            <v>84</v>
          </cell>
          <cell r="M480">
            <v>90</v>
          </cell>
        </row>
        <row r="481">
          <cell r="F481">
            <v>27</v>
          </cell>
          <cell r="G481" t="str">
            <v>Sullivan</v>
          </cell>
          <cell r="H481">
            <v>9</v>
          </cell>
          <cell r="I481">
            <v>11</v>
          </cell>
          <cell r="J481">
            <v>4</v>
          </cell>
          <cell r="K481">
            <v>3</v>
          </cell>
          <cell r="L481">
            <v>1</v>
          </cell>
          <cell r="M481">
            <v>0</v>
          </cell>
        </row>
        <row r="482">
          <cell r="F482">
            <v>28</v>
          </cell>
          <cell r="G482" t="str">
            <v>Tompkins-Cortland</v>
          </cell>
          <cell r="H482">
            <v>8</v>
          </cell>
          <cell r="I482">
            <v>5</v>
          </cell>
          <cell r="J482">
            <v>6</v>
          </cell>
          <cell r="K482">
            <v>4</v>
          </cell>
          <cell r="L482">
            <v>2</v>
          </cell>
          <cell r="M482">
            <v>6</v>
          </cell>
        </row>
        <row r="483">
          <cell r="F483">
            <v>29</v>
          </cell>
          <cell r="G483" t="str">
            <v>Ulster</v>
          </cell>
          <cell r="H483">
            <v>26</v>
          </cell>
          <cell r="I483">
            <v>33</v>
          </cell>
          <cell r="J483">
            <v>68</v>
          </cell>
          <cell r="K483">
            <v>61</v>
          </cell>
          <cell r="L483">
            <v>35</v>
          </cell>
          <cell r="M483">
            <v>44</v>
          </cell>
        </row>
        <row r="484">
          <cell r="F484">
            <v>30</v>
          </cell>
          <cell r="G484" t="str">
            <v>Westchester</v>
          </cell>
          <cell r="H484">
            <v>127</v>
          </cell>
          <cell r="I484">
            <v>117</v>
          </cell>
          <cell r="J484">
            <v>155</v>
          </cell>
          <cell r="K484">
            <v>122</v>
          </cell>
          <cell r="L484">
            <v>151</v>
          </cell>
          <cell r="M484">
            <v>157</v>
          </cell>
        </row>
        <row r="486">
          <cell r="F486">
            <v>0</v>
          </cell>
          <cell r="G486" t="str">
            <v>Community Colleges</v>
          </cell>
          <cell r="H486">
            <v>1689.5619999999999</v>
          </cell>
          <cell r="I486">
            <v>1733.6780000000001</v>
          </cell>
          <cell r="J486">
            <v>1813.8309999999999</v>
          </cell>
          <cell r="K486">
            <v>1921.011</v>
          </cell>
          <cell r="L486">
            <v>2052.0210000000002</v>
          </cell>
          <cell r="M486">
            <v>2278.6709999999998</v>
          </cell>
        </row>
        <row r="487">
          <cell r="F487">
            <v>1</v>
          </cell>
          <cell r="G487" t="str">
            <v>Adirondack</v>
          </cell>
          <cell r="H487">
            <v>23.332999999999998</v>
          </cell>
          <cell r="I487">
            <v>24.279</v>
          </cell>
          <cell r="J487">
            <v>25.542000000000002</v>
          </cell>
          <cell r="K487">
            <v>26.789000000000001</v>
          </cell>
          <cell r="L487">
            <v>28.71</v>
          </cell>
          <cell r="M487">
            <v>32.414999999999999</v>
          </cell>
        </row>
        <row r="488">
          <cell r="F488">
            <v>2</v>
          </cell>
          <cell r="G488" t="str">
            <v>Broome</v>
          </cell>
          <cell r="H488">
            <v>51.415999999999997</v>
          </cell>
          <cell r="I488">
            <v>50.494</v>
          </cell>
          <cell r="J488">
            <v>52.372</v>
          </cell>
          <cell r="K488">
            <v>56.02</v>
          </cell>
          <cell r="L488">
            <v>56.871000000000002</v>
          </cell>
          <cell r="M488">
            <v>64.144999999999996</v>
          </cell>
        </row>
        <row r="489">
          <cell r="F489">
            <v>3</v>
          </cell>
          <cell r="G489" t="str">
            <v>Cayuga</v>
          </cell>
          <cell r="H489">
            <v>41.283000000000001</v>
          </cell>
          <cell r="I489">
            <v>41.883000000000003</v>
          </cell>
          <cell r="J489">
            <v>38.975999999999999</v>
          </cell>
          <cell r="K489">
            <v>41.329000000000001</v>
          </cell>
          <cell r="L489">
            <v>44.808</v>
          </cell>
          <cell r="M489">
            <v>53.366999999999997</v>
          </cell>
        </row>
        <row r="490">
          <cell r="F490">
            <v>4</v>
          </cell>
          <cell r="G490" t="str">
            <v>Clinton</v>
          </cell>
          <cell r="H490">
            <v>15.212</v>
          </cell>
          <cell r="I490">
            <v>15.39</v>
          </cell>
          <cell r="J490">
            <v>15.657999999999999</v>
          </cell>
          <cell r="K490">
            <v>16.015999999999998</v>
          </cell>
          <cell r="L490">
            <v>17.114000000000001</v>
          </cell>
          <cell r="M490">
            <v>19.654</v>
          </cell>
        </row>
        <row r="491">
          <cell r="F491">
            <v>5</v>
          </cell>
          <cell r="G491" t="str">
            <v>Columbia-Greene</v>
          </cell>
          <cell r="H491">
            <v>16.507000000000001</v>
          </cell>
          <cell r="I491">
            <v>16.635999999999999</v>
          </cell>
          <cell r="J491">
            <v>17.579999999999998</v>
          </cell>
          <cell r="K491">
            <v>18.271000000000001</v>
          </cell>
          <cell r="L491">
            <v>18.907</v>
          </cell>
          <cell r="M491">
            <v>21.192</v>
          </cell>
        </row>
        <row r="492">
          <cell r="F492">
            <v>6</v>
          </cell>
          <cell r="G492" t="str">
            <v>Corning</v>
          </cell>
          <cell r="H492">
            <v>37.305</v>
          </cell>
          <cell r="I492">
            <v>37.037999999999997</v>
          </cell>
          <cell r="J492">
            <v>35.798999999999999</v>
          </cell>
          <cell r="K492">
            <v>39.280999999999999</v>
          </cell>
          <cell r="L492">
            <v>39.707999999999998</v>
          </cell>
          <cell r="M492">
            <v>44.564</v>
          </cell>
        </row>
        <row r="493">
          <cell r="F493">
            <v>7</v>
          </cell>
          <cell r="G493" t="str">
            <v>Dutchess</v>
          </cell>
          <cell r="H493">
            <v>49.889000000000003</v>
          </cell>
          <cell r="I493">
            <v>51.411999999999999</v>
          </cell>
          <cell r="J493">
            <v>53.962000000000003</v>
          </cell>
          <cell r="K493">
            <v>57.055999999999997</v>
          </cell>
          <cell r="L493">
            <v>60.084000000000003</v>
          </cell>
          <cell r="M493">
            <v>66.691000000000003</v>
          </cell>
        </row>
        <row r="494">
          <cell r="F494">
            <v>8</v>
          </cell>
          <cell r="G494" t="str">
            <v>Erie</v>
          </cell>
          <cell r="H494">
            <v>111.425</v>
          </cell>
          <cell r="I494">
            <v>114.078</v>
          </cell>
          <cell r="J494">
            <v>118.79900000000001</v>
          </cell>
          <cell r="K494">
            <v>123.151</v>
          </cell>
          <cell r="L494">
            <v>129.58199999999999</v>
          </cell>
          <cell r="M494">
            <v>143.13200000000001</v>
          </cell>
        </row>
        <row r="495">
          <cell r="F495">
            <v>9</v>
          </cell>
          <cell r="G495" t="str">
            <v>Fashion Institute</v>
          </cell>
          <cell r="H495">
            <v>133.161</v>
          </cell>
          <cell r="I495">
            <v>137.904</v>
          </cell>
          <cell r="J495">
            <v>146.90700000000001</v>
          </cell>
          <cell r="K495">
            <v>156.56299999999999</v>
          </cell>
          <cell r="L495">
            <v>169.19900000000001</v>
          </cell>
          <cell r="M495">
            <v>178.001</v>
          </cell>
        </row>
        <row r="496">
          <cell r="F496">
            <v>10</v>
          </cell>
          <cell r="G496" t="str">
            <v>Finger Lakes</v>
          </cell>
          <cell r="H496">
            <v>34.042000000000002</v>
          </cell>
          <cell r="I496">
            <v>35.112000000000002</v>
          </cell>
          <cell r="J496">
            <v>36.537999999999997</v>
          </cell>
          <cell r="K496">
            <v>39.630000000000003</v>
          </cell>
          <cell r="L496">
            <v>43.503</v>
          </cell>
          <cell r="M496">
            <v>52.78</v>
          </cell>
        </row>
        <row r="497">
          <cell r="F497">
            <v>11</v>
          </cell>
          <cell r="G497" t="str">
            <v>Fulton-Montgomery</v>
          </cell>
          <cell r="H497">
            <v>18.800999999999998</v>
          </cell>
          <cell r="I497">
            <v>18.782</v>
          </cell>
          <cell r="J497">
            <v>19.103000000000002</v>
          </cell>
          <cell r="K497">
            <v>21.047999999999998</v>
          </cell>
          <cell r="L497">
            <v>22.751999999999999</v>
          </cell>
          <cell r="M497">
            <v>26.907</v>
          </cell>
        </row>
        <row r="498">
          <cell r="F498">
            <v>12</v>
          </cell>
          <cell r="G498" t="str">
            <v>Genesee</v>
          </cell>
          <cell r="H498">
            <v>36.179000000000002</v>
          </cell>
          <cell r="I498">
            <v>38.183999999999997</v>
          </cell>
          <cell r="J498">
            <v>38.427999999999997</v>
          </cell>
          <cell r="K498">
            <v>41.591000000000001</v>
          </cell>
          <cell r="L498">
            <v>44.820999999999998</v>
          </cell>
          <cell r="M498">
            <v>51.893999999999998</v>
          </cell>
        </row>
        <row r="499">
          <cell r="F499">
            <v>13</v>
          </cell>
          <cell r="G499" t="str">
            <v>Herkimer</v>
          </cell>
          <cell r="H499">
            <v>27.670999999999999</v>
          </cell>
          <cell r="I499">
            <v>27.907</v>
          </cell>
          <cell r="J499">
            <v>27.917999999999999</v>
          </cell>
          <cell r="K499">
            <v>29.315000000000001</v>
          </cell>
          <cell r="L499">
            <v>30.533000000000001</v>
          </cell>
          <cell r="M499">
            <v>34.018000000000001</v>
          </cell>
        </row>
        <row r="500">
          <cell r="F500">
            <v>14</v>
          </cell>
          <cell r="G500" t="str">
            <v>Hudson Valley</v>
          </cell>
          <cell r="H500">
            <v>93.156000000000006</v>
          </cell>
          <cell r="I500">
            <v>94.789000000000001</v>
          </cell>
          <cell r="J500">
            <v>100.36199999999999</v>
          </cell>
          <cell r="K500">
            <v>107.01600000000001</v>
          </cell>
          <cell r="L500">
            <v>119.188</v>
          </cell>
          <cell r="M500">
            <v>137.51400000000001</v>
          </cell>
        </row>
        <row r="501">
          <cell r="F501">
            <v>15</v>
          </cell>
          <cell r="G501" t="str">
            <v>Jamestown</v>
          </cell>
          <cell r="H501">
            <v>34.398000000000003</v>
          </cell>
          <cell r="I501">
            <v>35.130000000000003</v>
          </cell>
          <cell r="J501">
            <v>36.21</v>
          </cell>
          <cell r="K501">
            <v>35.662999999999997</v>
          </cell>
          <cell r="L501">
            <v>38.311999999999998</v>
          </cell>
          <cell r="M501">
            <v>44.648000000000003</v>
          </cell>
        </row>
        <row r="502">
          <cell r="F502">
            <v>16</v>
          </cell>
          <cell r="G502" t="str">
            <v>Jefferson</v>
          </cell>
          <cell r="H502">
            <v>24.663</v>
          </cell>
          <cell r="I502">
            <v>25.283999999999999</v>
          </cell>
          <cell r="J502">
            <v>25.273</v>
          </cell>
          <cell r="K502">
            <v>27.026</v>
          </cell>
          <cell r="L502">
            <v>27.376000000000001</v>
          </cell>
          <cell r="M502">
            <v>31.478000000000002</v>
          </cell>
        </row>
        <row r="503">
          <cell r="F503">
            <v>17</v>
          </cell>
          <cell r="G503" t="str">
            <v>Mohawk Valley</v>
          </cell>
          <cell r="H503">
            <v>45.707000000000001</v>
          </cell>
          <cell r="I503">
            <v>46.387999999999998</v>
          </cell>
          <cell r="J503">
            <v>47.676000000000002</v>
          </cell>
          <cell r="K503">
            <v>51.567999999999998</v>
          </cell>
          <cell r="L503">
            <v>55.344000000000001</v>
          </cell>
          <cell r="M503">
            <v>61.43</v>
          </cell>
        </row>
        <row r="504">
          <cell r="F504">
            <v>18</v>
          </cell>
          <cell r="G504" t="str">
            <v>Monroe</v>
          </cell>
          <cell r="H504">
            <v>125.77500000000001</v>
          </cell>
          <cell r="I504">
            <v>129.11799999999999</v>
          </cell>
          <cell r="J504">
            <v>134.88499999999999</v>
          </cell>
          <cell r="K504">
            <v>141.749</v>
          </cell>
          <cell r="L504">
            <v>149.89699999999999</v>
          </cell>
          <cell r="M504">
            <v>170.98699999999999</v>
          </cell>
        </row>
        <row r="505">
          <cell r="F505">
            <v>19</v>
          </cell>
          <cell r="G505" t="str">
            <v>Nassau</v>
          </cell>
          <cell r="H505">
            <v>185.43299999999999</v>
          </cell>
          <cell r="I505">
            <v>189.773</v>
          </cell>
          <cell r="J505">
            <v>201.67500000000001</v>
          </cell>
          <cell r="K505">
            <v>207.02600000000001</v>
          </cell>
          <cell r="L505">
            <v>223.75200000000001</v>
          </cell>
          <cell r="M505">
            <v>236.54499999999999</v>
          </cell>
        </row>
        <row r="506">
          <cell r="F506">
            <v>20</v>
          </cell>
          <cell r="G506" t="str">
            <v>Niagara</v>
          </cell>
          <cell r="H506">
            <v>46.261000000000003</v>
          </cell>
          <cell r="I506">
            <v>48.058999999999997</v>
          </cell>
          <cell r="J506">
            <v>49.642000000000003</v>
          </cell>
          <cell r="K506">
            <v>53.619</v>
          </cell>
          <cell r="L506">
            <v>58.04</v>
          </cell>
          <cell r="M506">
            <v>63.908999999999999</v>
          </cell>
        </row>
        <row r="507">
          <cell r="F507">
            <v>21</v>
          </cell>
          <cell r="G507" t="str">
            <v>North Country</v>
          </cell>
          <cell r="H507">
            <v>13.288</v>
          </cell>
          <cell r="I507">
            <v>14.489000000000001</v>
          </cell>
          <cell r="J507">
            <v>15.625999999999999</v>
          </cell>
          <cell r="K507">
            <v>16.312999999999999</v>
          </cell>
          <cell r="L507">
            <v>15.385999999999999</v>
          </cell>
          <cell r="M507">
            <v>17.239999999999998</v>
          </cell>
        </row>
        <row r="508">
          <cell r="F508">
            <v>22</v>
          </cell>
          <cell r="G508" t="str">
            <v>Onondaga</v>
          </cell>
          <cell r="H508">
            <v>72.347999999999999</v>
          </cell>
          <cell r="I508">
            <v>71.254000000000005</v>
          </cell>
          <cell r="J508">
            <v>75.921999999999997</v>
          </cell>
          <cell r="K508">
            <v>82.513000000000005</v>
          </cell>
          <cell r="L508">
            <v>89.293000000000006</v>
          </cell>
          <cell r="M508">
            <v>99.635000000000005</v>
          </cell>
        </row>
        <row r="509">
          <cell r="F509">
            <v>23</v>
          </cell>
          <cell r="G509" t="str">
            <v>Orange</v>
          </cell>
          <cell r="H509">
            <v>43.353000000000002</v>
          </cell>
          <cell r="I509">
            <v>46.970999999999997</v>
          </cell>
          <cell r="J509">
            <v>49.936999999999998</v>
          </cell>
          <cell r="K509">
            <v>55.014000000000003</v>
          </cell>
          <cell r="L509">
            <v>53.707000000000001</v>
          </cell>
          <cell r="M509">
            <v>58.607999999999997</v>
          </cell>
        </row>
        <row r="510">
          <cell r="F510">
            <v>24</v>
          </cell>
          <cell r="G510" t="str">
            <v>Rockland</v>
          </cell>
          <cell r="H510">
            <v>53.465000000000003</v>
          </cell>
          <cell r="I510">
            <v>54.817</v>
          </cell>
          <cell r="J510">
            <v>57.823999999999998</v>
          </cell>
          <cell r="K510">
            <v>60.84</v>
          </cell>
          <cell r="L510">
            <v>65.186999999999998</v>
          </cell>
          <cell r="M510">
            <v>74.450999999999993</v>
          </cell>
        </row>
        <row r="511">
          <cell r="F511">
            <v>25</v>
          </cell>
          <cell r="G511" t="str">
            <v>Schenectady</v>
          </cell>
          <cell r="H511">
            <v>24.61</v>
          </cell>
          <cell r="I511">
            <v>27.513999999999999</v>
          </cell>
          <cell r="J511">
            <v>28.213999999999999</v>
          </cell>
          <cell r="K511">
            <v>28.762</v>
          </cell>
          <cell r="L511">
            <v>28.963000000000001</v>
          </cell>
          <cell r="M511">
            <v>31.571000000000002</v>
          </cell>
        </row>
        <row r="512">
          <cell r="F512">
            <v>26</v>
          </cell>
          <cell r="G512" t="str">
            <v>Suffolk</v>
          </cell>
          <cell r="H512">
            <v>157.38399999999999</v>
          </cell>
          <cell r="I512">
            <v>162.68600000000001</v>
          </cell>
          <cell r="J512">
            <v>173.304</v>
          </cell>
          <cell r="K512">
            <v>185.042</v>
          </cell>
          <cell r="L512">
            <v>191.38399999999999</v>
          </cell>
          <cell r="M512">
            <v>209.053</v>
          </cell>
        </row>
        <row r="513">
          <cell r="F513">
            <v>27</v>
          </cell>
          <cell r="G513" t="str">
            <v>Sullivan</v>
          </cell>
          <cell r="H513">
            <v>20.887</v>
          </cell>
          <cell r="I513">
            <v>19.920000000000002</v>
          </cell>
          <cell r="J513">
            <v>20.654</v>
          </cell>
          <cell r="K513">
            <v>21.009</v>
          </cell>
          <cell r="L513">
            <v>22.850999999999999</v>
          </cell>
          <cell r="M513">
            <v>24.844000000000001</v>
          </cell>
        </row>
        <row r="514">
          <cell r="F514">
            <v>28</v>
          </cell>
          <cell r="G514" t="str">
            <v>Tompkins-Cortland</v>
          </cell>
          <cell r="H514">
            <v>30.564</v>
          </cell>
          <cell r="I514">
            <v>32.508000000000003</v>
          </cell>
          <cell r="J514">
            <v>34.773000000000003</v>
          </cell>
          <cell r="K514">
            <v>38.085000000000001</v>
          </cell>
          <cell r="L514">
            <v>50.667000000000002</v>
          </cell>
          <cell r="M514">
            <v>59.308</v>
          </cell>
        </row>
        <row r="515">
          <cell r="F515">
            <v>29</v>
          </cell>
          <cell r="G515" t="str">
            <v>Ulster</v>
          </cell>
          <cell r="H515">
            <v>25.356000000000002</v>
          </cell>
          <cell r="I515">
            <v>25.893999999999998</v>
          </cell>
          <cell r="J515">
            <v>27.460999999999999</v>
          </cell>
          <cell r="K515">
            <v>27.643000000000001</v>
          </cell>
          <cell r="L515">
            <v>30.126000000000001</v>
          </cell>
          <cell r="M515">
            <v>30.477</v>
          </cell>
        </row>
        <row r="516">
          <cell r="F516">
            <v>30</v>
          </cell>
          <cell r="G516" t="str">
            <v>Westchester</v>
          </cell>
          <cell r="H516">
            <v>96.688000000000002</v>
          </cell>
          <cell r="I516">
            <v>99.986000000000004</v>
          </cell>
          <cell r="J516">
            <v>106.813</v>
          </cell>
          <cell r="K516">
            <v>116.06399999999999</v>
          </cell>
          <cell r="L516">
            <v>125.95399999999999</v>
          </cell>
          <cell r="M516">
            <v>138.214</v>
          </cell>
        </row>
        <row r="518">
          <cell r="F518">
            <v>0</v>
          </cell>
          <cell r="G518" t="str">
            <v>Community Colleges</v>
          </cell>
          <cell r="H518">
            <v>0.29297486322043997</v>
          </cell>
          <cell r="I518">
            <v>0.30362648812054732</v>
          </cell>
          <cell r="J518">
            <v>0.30932485996460019</v>
          </cell>
          <cell r="K518">
            <v>0.31350063842038045</v>
          </cell>
          <cell r="L518">
            <v>0.30815607358545682</v>
          </cell>
          <cell r="M518">
            <v>0.29361021395328751</v>
          </cell>
        </row>
        <row r="519">
          <cell r="F519">
            <v>1</v>
          </cell>
          <cell r="G519" t="str">
            <v>Adirondack</v>
          </cell>
          <cell r="H519">
            <v>0.32345140162697461</v>
          </cell>
          <cell r="I519">
            <v>0.32320017148469171</v>
          </cell>
          <cell r="J519">
            <v>0.33422015944872657</v>
          </cell>
          <cell r="K519">
            <v>0.34250720049802025</v>
          </cell>
          <cell r="L519">
            <v>0.3108180438724949</v>
          </cell>
          <cell r="M519">
            <v>0.29524613147354622</v>
          </cell>
        </row>
        <row r="520">
          <cell r="F520">
            <v>2</v>
          </cell>
          <cell r="G520" t="str">
            <v>Broome</v>
          </cell>
          <cell r="H520">
            <v>0.31712927883335301</v>
          </cell>
          <cell r="I520">
            <v>0.33940476654601542</v>
          </cell>
          <cell r="J520">
            <v>0.33913379068612187</v>
          </cell>
          <cell r="K520">
            <v>0.32844253912420079</v>
          </cell>
          <cell r="L520">
            <v>0.34130192831141209</v>
          </cell>
          <cell r="M520">
            <v>0.31015185816277774</v>
          </cell>
        </row>
        <row r="521">
          <cell r="F521">
            <v>3</v>
          </cell>
          <cell r="G521" t="str">
            <v>Cayuga</v>
          </cell>
          <cell r="H521">
            <v>0.31495062106361776</v>
          </cell>
          <cell r="I521">
            <v>0.34103372673415122</v>
          </cell>
          <cell r="J521">
            <v>0.3354810289892553</v>
          </cell>
          <cell r="K521">
            <v>0.34043913254429725</v>
          </cell>
          <cell r="L521">
            <v>0.32690067290632507</v>
          </cell>
          <cell r="M521">
            <v>0.30564512078291767</v>
          </cell>
        </row>
        <row r="522">
          <cell r="F522">
            <v>4</v>
          </cell>
          <cell r="G522" t="str">
            <v>Clinton</v>
          </cell>
          <cell r="H522">
            <v>0.31727447480545656</v>
          </cell>
          <cell r="I522">
            <v>0.32909095071653138</v>
          </cell>
          <cell r="J522">
            <v>0.34514947958250158</v>
          </cell>
          <cell r="K522">
            <v>0.3547540323464311</v>
          </cell>
          <cell r="L522">
            <v>0.33204741846916841</v>
          </cell>
          <cell r="M522">
            <v>0.29196929023757268</v>
          </cell>
        </row>
        <row r="523">
          <cell r="F523">
            <v>5</v>
          </cell>
          <cell r="G523" t="str">
            <v>Columbia-Greene</v>
          </cell>
          <cell r="H523">
            <v>0.25208522648590242</v>
          </cell>
          <cell r="I523">
            <v>0.24950208965900847</v>
          </cell>
          <cell r="J523">
            <v>0.26057855459107127</v>
          </cell>
          <cell r="K523">
            <v>0.27994245698142695</v>
          </cell>
          <cell r="L523">
            <v>0.28698493572965739</v>
          </cell>
          <cell r="M523">
            <v>0.26464157195876709</v>
          </cell>
        </row>
        <row r="524">
          <cell r="F524">
            <v>6</v>
          </cell>
          <cell r="G524" t="str">
            <v>Corning</v>
          </cell>
          <cell r="H524">
            <v>0.30417939730672533</v>
          </cell>
          <cell r="I524">
            <v>0.33301676306796929</v>
          </cell>
          <cell r="J524">
            <v>0.34963687240390956</v>
          </cell>
          <cell r="K524">
            <v>0.33075544697875114</v>
          </cell>
          <cell r="L524">
            <v>0.32417974892079471</v>
          </cell>
          <cell r="M524">
            <v>0.31134486858658617</v>
          </cell>
        </row>
        <row r="525">
          <cell r="F525">
            <v>7</v>
          </cell>
          <cell r="G525" t="str">
            <v>Dutchess</v>
          </cell>
          <cell r="H525">
            <v>0.33368148595486202</v>
          </cell>
          <cell r="I525">
            <v>0.34210460646578728</v>
          </cell>
          <cell r="J525">
            <v>0.3443090581395144</v>
          </cell>
          <cell r="K525">
            <v>0.35073879505161126</v>
          </cell>
          <cell r="L525">
            <v>0.34268373008341463</v>
          </cell>
          <cell r="M525">
            <v>0.33336095437231145</v>
          </cell>
        </row>
        <row r="526">
          <cell r="F526">
            <v>8</v>
          </cell>
          <cell r="G526" t="str">
            <v>Erie</v>
          </cell>
          <cell r="H526">
            <v>0.33595055824265846</v>
          </cell>
          <cell r="I526">
            <v>0.35909145376924356</v>
          </cell>
          <cell r="J526">
            <v>0.36145633496289076</v>
          </cell>
          <cell r="K526">
            <v>0.37092291739479771</v>
          </cell>
          <cell r="L526">
            <v>0.38169481099199565</v>
          </cell>
          <cell r="M526">
            <v>0.36596590386552069</v>
          </cell>
        </row>
        <row r="527">
          <cell r="F527">
            <v>9</v>
          </cell>
          <cell r="G527" t="str">
            <v>Fashion Institute</v>
          </cell>
          <cell r="H527">
            <v>0.17439237406812236</v>
          </cell>
          <cell r="I527">
            <v>0.18088799981527079</v>
          </cell>
          <cell r="J527">
            <v>0.18195730680967018</v>
          </cell>
          <cell r="K527">
            <v>0.17976599486277334</v>
          </cell>
          <cell r="L527">
            <v>0.1649724784552615</v>
          </cell>
          <cell r="M527">
            <v>0.15516340189352101</v>
          </cell>
        </row>
        <row r="528">
          <cell r="F528">
            <v>10</v>
          </cell>
          <cell r="G528" t="str">
            <v>Finger Lakes</v>
          </cell>
          <cell r="H528">
            <v>0.31064702759428414</v>
          </cell>
          <cell r="I528">
            <v>0.32634690232866992</v>
          </cell>
          <cell r="J528">
            <v>0.34283957877328192</v>
          </cell>
          <cell r="K528">
            <v>0.34163529881273896</v>
          </cell>
          <cell r="L528">
            <v>0.34410404692532365</v>
          </cell>
          <cell r="M528">
            <v>0.32003422728023101</v>
          </cell>
        </row>
        <row r="529">
          <cell r="F529">
            <v>11</v>
          </cell>
          <cell r="G529" t="str">
            <v>Fulton-Montgomery</v>
          </cell>
          <cell r="H529">
            <v>0.30655481011517061</v>
          </cell>
          <cell r="I529">
            <v>0.31636722367873077</v>
          </cell>
          <cell r="J529">
            <v>0.33403786382433182</v>
          </cell>
          <cell r="K529">
            <v>0.34058248798937973</v>
          </cell>
          <cell r="L529">
            <v>0.34965078813260231</v>
          </cell>
          <cell r="M529">
            <v>0.32706124270170922</v>
          </cell>
        </row>
        <row r="530">
          <cell r="F530">
            <v>12</v>
          </cell>
          <cell r="G530" t="str">
            <v>Genesee</v>
          </cell>
          <cell r="H530">
            <v>0.37121314158765822</v>
          </cell>
          <cell r="I530">
            <v>0.37546375832456197</v>
          </cell>
          <cell r="J530">
            <v>0.39964088524611735</v>
          </cell>
          <cell r="K530">
            <v>0.38540236476640183</v>
          </cell>
          <cell r="L530">
            <v>0.37394214882054844</v>
          </cell>
          <cell r="M530">
            <v>0.34534434968039429</v>
          </cell>
        </row>
        <row r="531">
          <cell r="F531">
            <v>13</v>
          </cell>
          <cell r="G531" t="str">
            <v>Herkimer</v>
          </cell>
          <cell r="H531">
            <v>0.3461417601314084</v>
          </cell>
          <cell r="I531">
            <v>0.34233590442454986</v>
          </cell>
          <cell r="J531">
            <v>0.36648503163626656</v>
          </cell>
          <cell r="K531">
            <v>0.36625331694468</v>
          </cell>
          <cell r="L531">
            <v>0.36556187324132156</v>
          </cell>
          <cell r="M531">
            <v>0.36419554125909254</v>
          </cell>
        </row>
        <row r="532">
          <cell r="F532">
            <v>14</v>
          </cell>
          <cell r="G532" t="str">
            <v>Hudson Valley</v>
          </cell>
          <cell r="H532">
            <v>0.33592063109147263</v>
          </cell>
          <cell r="I532">
            <v>0.33615278833428253</v>
          </cell>
          <cell r="J532">
            <v>0.33712276323650597</v>
          </cell>
          <cell r="K532">
            <v>0.34400682332258681</v>
          </cell>
          <cell r="L532">
            <v>0.31125616537443707</v>
          </cell>
          <cell r="M532">
            <v>0.29717871749732455</v>
          </cell>
        </row>
        <row r="533">
          <cell r="F533">
            <v>15</v>
          </cell>
          <cell r="G533" t="str">
            <v>Jamestown</v>
          </cell>
          <cell r="H533">
            <v>0.31110495121126569</v>
          </cell>
          <cell r="I533">
            <v>0.32121333035448124</v>
          </cell>
          <cell r="J533">
            <v>0.33267571790065964</v>
          </cell>
          <cell r="K533">
            <v>0.35467970024348161</v>
          </cell>
          <cell r="L533">
            <v>0.33141353636683496</v>
          </cell>
          <cell r="M533">
            <v>0.32024605590218713</v>
          </cell>
        </row>
        <row r="534">
          <cell r="F534">
            <v>16</v>
          </cell>
          <cell r="G534" t="str">
            <v>Jefferson</v>
          </cell>
          <cell r="H534">
            <v>0.32910843720687494</v>
          </cell>
          <cell r="I534">
            <v>0.33835918181450353</v>
          </cell>
          <cell r="J534">
            <v>0.35173018304859321</v>
          </cell>
          <cell r="K534">
            <v>0.32349448512259449</v>
          </cell>
          <cell r="L534">
            <v>0.30759400815588345</v>
          </cell>
          <cell r="M534">
            <v>0.2934231864867376</v>
          </cell>
        </row>
        <row r="535">
          <cell r="F535">
            <v>17</v>
          </cell>
          <cell r="G535" t="str">
            <v>Mohawk Valley</v>
          </cell>
          <cell r="H535">
            <v>0.32676982322664289</v>
          </cell>
          <cell r="I535">
            <v>0.34169654333453553</v>
          </cell>
          <cell r="J535">
            <v>0.34715786806622084</v>
          </cell>
          <cell r="K535">
            <v>0.3424461591311172</v>
          </cell>
          <cell r="L535">
            <v>0.32916033430429481</v>
          </cell>
          <cell r="M535">
            <v>0.31557082606899189</v>
          </cell>
        </row>
        <row r="536">
          <cell r="F536">
            <v>18</v>
          </cell>
          <cell r="G536" t="str">
            <v>Monroe</v>
          </cell>
          <cell r="H536">
            <v>0.3562913759873258</v>
          </cell>
          <cell r="I536">
            <v>0.37751380448702732</v>
          </cell>
          <cell r="J536">
            <v>0.38852845854773638</v>
          </cell>
          <cell r="K536">
            <v>0.40000000418040255</v>
          </cell>
          <cell r="L536">
            <v>0.39878604692030573</v>
          </cell>
          <cell r="M536">
            <v>0.37919808862540094</v>
          </cell>
        </row>
        <row r="537">
          <cell r="F537">
            <v>19</v>
          </cell>
          <cell r="G537" t="str">
            <v>Nassau</v>
          </cell>
          <cell r="H537">
            <v>0.26052518021086224</v>
          </cell>
          <cell r="I537">
            <v>0.2660131201384579</v>
          </cell>
          <cell r="J537">
            <v>0.26564469983306571</v>
          </cell>
          <cell r="K537">
            <v>0.27788673282319254</v>
          </cell>
          <cell r="L537">
            <v>0.26690213984891825</v>
          </cell>
          <cell r="M537">
            <v>0.24896083941257796</v>
          </cell>
        </row>
        <row r="538">
          <cell r="F538">
            <v>20</v>
          </cell>
          <cell r="G538" t="str">
            <v>Niagara</v>
          </cell>
          <cell r="H538">
            <v>0.29452806168500589</v>
          </cell>
          <cell r="I538">
            <v>0.29320048599681015</v>
          </cell>
          <cell r="J538">
            <v>0.30823201082358315</v>
          </cell>
          <cell r="K538">
            <v>0.30189200219567364</v>
          </cell>
          <cell r="L538">
            <v>0.30317253012902956</v>
          </cell>
          <cell r="M538">
            <v>0.29964061744896037</v>
          </cell>
        </row>
        <row r="539">
          <cell r="F539">
            <v>21</v>
          </cell>
          <cell r="G539" t="str">
            <v>North Country</v>
          </cell>
          <cell r="H539">
            <v>0.28894935839583302</v>
          </cell>
          <cell r="I539">
            <v>0.33970117465309108</v>
          </cell>
          <cell r="J539">
            <v>0.35039943335638146</v>
          </cell>
          <cell r="K539">
            <v>0.3458947031342941</v>
          </cell>
          <cell r="L539">
            <v>0.37410755500551318</v>
          </cell>
          <cell r="M539">
            <v>0.34355082218474164</v>
          </cell>
        </row>
        <row r="540">
          <cell r="F540">
            <v>22</v>
          </cell>
          <cell r="G540" t="str">
            <v>Onondaga</v>
          </cell>
          <cell r="H540">
            <v>0.31409764870666435</v>
          </cell>
          <cell r="I540">
            <v>0.32938883086513898</v>
          </cell>
          <cell r="J540">
            <v>0.335539717805106</v>
          </cell>
          <cell r="K540">
            <v>0.34290346256815052</v>
          </cell>
          <cell r="L540">
            <v>0.35276546761876021</v>
          </cell>
          <cell r="M540">
            <v>0.33807490078009145</v>
          </cell>
        </row>
        <row r="541">
          <cell r="F541">
            <v>23</v>
          </cell>
          <cell r="G541" t="str">
            <v>Orange</v>
          </cell>
          <cell r="H541">
            <v>0.26520258610147102</v>
          </cell>
          <cell r="I541">
            <v>0.25720865156643224</v>
          </cell>
          <cell r="J541">
            <v>0.2573578215533518</v>
          </cell>
          <cell r="K541">
            <v>0.26792469476780167</v>
          </cell>
          <cell r="L541">
            <v>0.26582912927504904</v>
          </cell>
          <cell r="M541">
            <v>0.25503758345511662</v>
          </cell>
        </row>
        <row r="542">
          <cell r="F542">
            <v>24</v>
          </cell>
          <cell r="G542" t="str">
            <v>Rockland</v>
          </cell>
          <cell r="H542">
            <v>0.26842538001461913</v>
          </cell>
          <cell r="I542">
            <v>0.26338980502996212</v>
          </cell>
          <cell r="J542">
            <v>0.28092335572382959</v>
          </cell>
          <cell r="K542">
            <v>0.28318458066148133</v>
          </cell>
          <cell r="L542">
            <v>0.27921882684332389</v>
          </cell>
          <cell r="M542">
            <v>0.28211012857068918</v>
          </cell>
        </row>
        <row r="543">
          <cell r="F543">
            <v>25</v>
          </cell>
          <cell r="G543" t="str">
            <v>Schenectady</v>
          </cell>
          <cell r="H543">
            <v>0.36282898493405225</v>
          </cell>
          <cell r="I543">
            <v>0.36323582751300287</v>
          </cell>
          <cell r="J543">
            <v>0.38556671125281583</v>
          </cell>
          <cell r="K543">
            <v>0.38899209620344194</v>
          </cell>
          <cell r="L543">
            <v>0.37062417628276323</v>
          </cell>
          <cell r="M543">
            <v>0.3947158541889868</v>
          </cell>
        </row>
        <row r="544">
          <cell r="F544">
            <v>26</v>
          </cell>
          <cell r="G544" t="str">
            <v>Suffolk</v>
          </cell>
          <cell r="H544">
            <v>0.28429724385643212</v>
          </cell>
          <cell r="I544">
            <v>0.29480412303530984</v>
          </cell>
          <cell r="J544">
            <v>0.30063359414944646</v>
          </cell>
          <cell r="K544">
            <v>0.3096458045639946</v>
          </cell>
          <cell r="L544">
            <v>0.31415339558811367</v>
          </cell>
          <cell r="M544">
            <v>0.29906689222284422</v>
          </cell>
        </row>
        <row r="545">
          <cell r="F545">
            <v>27</v>
          </cell>
          <cell r="G545" t="str">
            <v>Sullivan</v>
          </cell>
          <cell r="H545">
            <v>0.25228843939974133</v>
          </cell>
          <cell r="I545">
            <v>0.25870514359056368</v>
          </cell>
          <cell r="J545">
            <v>0.27528757188578484</v>
          </cell>
          <cell r="K545">
            <v>0.25928768215534648</v>
          </cell>
          <cell r="L545">
            <v>0.25072261078388974</v>
          </cell>
          <cell r="M545">
            <v>0.24295420954580763</v>
          </cell>
        </row>
        <row r="546">
          <cell r="F546">
            <v>28</v>
          </cell>
          <cell r="G546" t="str">
            <v>Tompkins-Cortland</v>
          </cell>
          <cell r="H546">
            <v>0.294797748189005</v>
          </cell>
          <cell r="I546">
            <v>0.29475035215560735</v>
          </cell>
          <cell r="J546">
            <v>0.297176843534601</v>
          </cell>
          <cell r="K546">
            <v>0.29796115955643243</v>
          </cell>
          <cell r="L546">
            <v>0.29835359020610364</v>
          </cell>
          <cell r="M546">
            <v>0.2801162449592034</v>
          </cell>
        </row>
        <row r="547">
          <cell r="F547">
            <v>29</v>
          </cell>
          <cell r="G547" t="str">
            <v>Ulster</v>
          </cell>
          <cell r="H547">
            <v>0.28346973132673753</v>
          </cell>
          <cell r="I547">
            <v>0.2735157463597882</v>
          </cell>
          <cell r="J547">
            <v>0.2896996741831015</v>
          </cell>
          <cell r="K547">
            <v>0.2836878683055728</v>
          </cell>
          <cell r="L547">
            <v>0.27479876648632406</v>
          </cell>
          <cell r="M547">
            <v>0.27638871266643755</v>
          </cell>
        </row>
        <row r="548">
          <cell r="F548">
            <v>30</v>
          </cell>
          <cell r="G548" t="str">
            <v>Westchester</v>
          </cell>
          <cell r="H548">
            <v>0.29046089498023797</v>
          </cell>
          <cell r="I548">
            <v>0.32348191847400604</v>
          </cell>
          <cell r="J548">
            <v>0.31928642256304168</v>
          </cell>
          <cell r="K548">
            <v>0.32590192127801304</v>
          </cell>
          <cell r="L548">
            <v>0.33389424273602292</v>
          </cell>
          <cell r="M548">
            <v>0.31141814684837638</v>
          </cell>
        </row>
        <row r="550">
          <cell r="F550">
            <v>0</v>
          </cell>
          <cell r="G550" t="str">
            <v>Community Colleges</v>
          </cell>
          <cell r="H550">
            <v>0.38698734039329813</v>
          </cell>
          <cell r="I550">
            <v>0.39183501624712264</v>
          </cell>
          <cell r="J550">
            <v>0.38560177561463477</v>
          </cell>
          <cell r="K550">
            <v>0.39380060381048021</v>
          </cell>
          <cell r="L550">
            <v>0.40781473302380905</v>
          </cell>
          <cell r="M550">
            <v>0.43626965362446829</v>
          </cell>
        </row>
        <row r="551">
          <cell r="F551">
            <v>1</v>
          </cell>
          <cell r="G551" t="str">
            <v>Adirondack</v>
          </cell>
          <cell r="H551">
            <v>0.44062047174042679</v>
          </cell>
          <cell r="I551">
            <v>0.43274565895712636</v>
          </cell>
          <cell r="J551">
            <v>0.43304522122590017</v>
          </cell>
          <cell r="K551">
            <v>0.43870146425354772</v>
          </cell>
          <cell r="L551">
            <v>0.42099684215720595</v>
          </cell>
          <cell r="M551">
            <v>0.47773692946083979</v>
          </cell>
        </row>
        <row r="552">
          <cell r="F552">
            <v>2</v>
          </cell>
          <cell r="G552" t="str">
            <v>Broome</v>
          </cell>
          <cell r="H552">
            <v>0.39053673845278364</v>
          </cell>
          <cell r="I552">
            <v>0.39509182017756461</v>
          </cell>
          <cell r="J552">
            <v>0.39821804724064241</v>
          </cell>
          <cell r="K552">
            <v>0.3984649838957931</v>
          </cell>
          <cell r="L552">
            <v>0.43362327701165065</v>
          </cell>
          <cell r="M552">
            <v>0.43456718747572809</v>
          </cell>
        </row>
        <row r="553">
          <cell r="F553">
            <v>3</v>
          </cell>
          <cell r="G553" t="str">
            <v>Cayuga</v>
          </cell>
          <cell r="H553">
            <v>0.43177891440252697</v>
          </cell>
          <cell r="I553">
            <v>0.40191444698418621</v>
          </cell>
          <cell r="J553">
            <v>0.40307282753243345</v>
          </cell>
          <cell r="K553">
            <v>0.3988780168834955</v>
          </cell>
          <cell r="L553">
            <v>0.41696036785203694</v>
          </cell>
          <cell r="M553">
            <v>0.48095705770237107</v>
          </cell>
        </row>
        <row r="554">
          <cell r="F554">
            <v>4</v>
          </cell>
          <cell r="G554" t="str">
            <v>Clinton</v>
          </cell>
          <cell r="H554">
            <v>0.4288839692638709</v>
          </cell>
          <cell r="I554">
            <v>0.41124497000695048</v>
          </cell>
          <cell r="J554">
            <v>0.39363222978103729</v>
          </cell>
          <cell r="K554">
            <v>0.39790751832635707</v>
          </cell>
          <cell r="L554">
            <v>0.42044795954761083</v>
          </cell>
          <cell r="M554">
            <v>0.44625704149302797</v>
          </cell>
        </row>
        <row r="555">
          <cell r="F555">
            <v>5</v>
          </cell>
          <cell r="G555" t="str">
            <v>Columbia-Greene</v>
          </cell>
          <cell r="H555">
            <v>0.31606262765831933</v>
          </cell>
          <cell r="I555">
            <v>0.32894738276951307</v>
          </cell>
          <cell r="J555">
            <v>0.32754699649910707</v>
          </cell>
          <cell r="K555">
            <v>0.33350367424274752</v>
          </cell>
          <cell r="L555">
            <v>0.3693681537059656</v>
          </cell>
          <cell r="M555">
            <v>0.38160087627427824</v>
          </cell>
        </row>
        <row r="556">
          <cell r="F556">
            <v>6</v>
          </cell>
          <cell r="G556" t="str">
            <v>Corning</v>
          </cell>
          <cell r="H556">
            <v>0.40276330877558514</v>
          </cell>
          <cell r="I556">
            <v>0.36283711371169775</v>
          </cell>
          <cell r="J556">
            <v>0.36169398012484133</v>
          </cell>
          <cell r="K556">
            <v>0.35911489114308154</v>
          </cell>
          <cell r="L556">
            <v>0.39905806457354004</v>
          </cell>
          <cell r="M556">
            <v>0.43194814423102323</v>
          </cell>
        </row>
        <row r="557">
          <cell r="F557">
            <v>7</v>
          </cell>
          <cell r="G557" t="str">
            <v>Dutchess</v>
          </cell>
          <cell r="H557">
            <v>0.37271509891715848</v>
          </cell>
          <cell r="I557">
            <v>0.42150745534216905</v>
          </cell>
          <cell r="J557">
            <v>0.39482487073219741</v>
          </cell>
          <cell r="K557">
            <v>0.40996357249306803</v>
          </cell>
          <cell r="L557">
            <v>0.43058797419665862</v>
          </cell>
          <cell r="M557">
            <v>0.47221680703909397</v>
          </cell>
        </row>
        <row r="558">
          <cell r="F558">
            <v>8</v>
          </cell>
          <cell r="G558" t="str">
            <v>Erie</v>
          </cell>
          <cell r="H558">
            <v>0.43909717987055674</v>
          </cell>
          <cell r="I558">
            <v>0.42855720203608078</v>
          </cell>
          <cell r="J558">
            <v>0.42972134044273036</v>
          </cell>
          <cell r="K558">
            <v>0.42578688911859419</v>
          </cell>
          <cell r="L558">
            <v>0.46141467367753192</v>
          </cell>
          <cell r="M558">
            <v>0.48059826096621544</v>
          </cell>
        </row>
        <row r="559">
          <cell r="F559">
            <v>9</v>
          </cell>
          <cell r="G559" t="str">
            <v>Fashion Institute</v>
          </cell>
          <cell r="H559">
            <v>0.26354181917186142</v>
          </cell>
          <cell r="I559">
            <v>0.27577144365803596</v>
          </cell>
          <cell r="J559">
            <v>0.25236154498904334</v>
          </cell>
          <cell r="K559">
            <v>0.25324114664022357</v>
          </cell>
          <cell r="L559">
            <v>0.24307641714101505</v>
          </cell>
          <cell r="M559">
            <v>0.26315225421286037</v>
          </cell>
        </row>
        <row r="560">
          <cell r="F560">
            <v>10</v>
          </cell>
          <cell r="G560" t="str">
            <v>Finger Lakes</v>
          </cell>
          <cell r="H560">
            <v>0.37620990486524758</v>
          </cell>
          <cell r="I560">
            <v>0.38618462093381012</v>
          </cell>
          <cell r="J560">
            <v>0.39321079065003495</v>
          </cell>
          <cell r="K560">
            <v>0.41324490105743822</v>
          </cell>
          <cell r="L560">
            <v>0.44033108238350255</v>
          </cell>
          <cell r="M560">
            <v>0.47219043373180086</v>
          </cell>
        </row>
        <row r="561">
          <cell r="F561">
            <v>11</v>
          </cell>
          <cell r="G561" t="str">
            <v>Fulton-Montgomery</v>
          </cell>
          <cell r="H561">
            <v>0.37183469339084296</v>
          </cell>
          <cell r="I561">
            <v>0.40104342246086772</v>
          </cell>
          <cell r="J561">
            <v>0.40243153198265252</v>
          </cell>
          <cell r="K561">
            <v>0.395458269283539</v>
          </cell>
          <cell r="L561">
            <v>0.43566299585745244</v>
          </cell>
          <cell r="M561">
            <v>0.46280062914131531</v>
          </cell>
        </row>
        <row r="562">
          <cell r="F562">
            <v>12</v>
          </cell>
          <cell r="G562" t="str">
            <v>Genesee</v>
          </cell>
          <cell r="H562">
            <v>0.45339148550287034</v>
          </cell>
          <cell r="I562">
            <v>0.47453351400341975</v>
          </cell>
          <cell r="J562">
            <v>0.45704074346382179</v>
          </cell>
          <cell r="K562">
            <v>0.44560941546333593</v>
          </cell>
          <cell r="L562">
            <v>0.46691473277799661</v>
          </cell>
          <cell r="M562">
            <v>0.46132329806554206</v>
          </cell>
        </row>
        <row r="563">
          <cell r="F563">
            <v>13</v>
          </cell>
          <cell r="G563" t="str">
            <v>Herkimer</v>
          </cell>
          <cell r="H563">
            <v>0.40896302927176531</v>
          </cell>
          <cell r="I563">
            <v>0.39788541203616506</v>
          </cell>
          <cell r="J563">
            <v>0.39073421937306124</v>
          </cell>
          <cell r="K563">
            <v>0.39112568799308611</v>
          </cell>
          <cell r="L563">
            <v>0.43877626763427618</v>
          </cell>
          <cell r="M563">
            <v>0.48611825466898484</v>
          </cell>
        </row>
        <row r="564">
          <cell r="F564">
            <v>14</v>
          </cell>
          <cell r="G564" t="str">
            <v>Hudson Valley</v>
          </cell>
          <cell r="H564">
            <v>0.41254330454719446</v>
          </cell>
          <cell r="I564">
            <v>0.4252025621850184</v>
          </cell>
          <cell r="J564">
            <v>0.39961425190338279</v>
          </cell>
          <cell r="K564">
            <v>0.40839216238748127</v>
          </cell>
          <cell r="L564">
            <v>0.39748699874273852</v>
          </cell>
          <cell r="M564">
            <v>0.43501968479139802</v>
          </cell>
        </row>
        <row r="565">
          <cell r="F565">
            <v>15</v>
          </cell>
          <cell r="G565" t="str">
            <v>Jamestown</v>
          </cell>
          <cell r="H565">
            <v>0.39636074639541558</v>
          </cell>
          <cell r="I565">
            <v>0.42243169695258093</v>
          </cell>
          <cell r="J565">
            <v>0.41540423448687425</v>
          </cell>
          <cell r="K565">
            <v>0.40797665796406324</v>
          </cell>
          <cell r="L565">
            <v>0.41991663133286289</v>
          </cell>
          <cell r="M565">
            <v>0.48137354464713938</v>
          </cell>
        </row>
        <row r="566">
          <cell r="F566">
            <v>16</v>
          </cell>
          <cell r="G566" t="str">
            <v>Jefferson</v>
          </cell>
          <cell r="H566">
            <v>0.42435467008680533</v>
          </cell>
          <cell r="I566">
            <v>0.42267318486270777</v>
          </cell>
          <cell r="J566">
            <v>0.41459572709306086</v>
          </cell>
          <cell r="K566">
            <v>0.39766349141167806</v>
          </cell>
          <cell r="L566">
            <v>0.40999157917780682</v>
          </cell>
          <cell r="M566">
            <v>0.46684946179232112</v>
          </cell>
        </row>
        <row r="567">
          <cell r="F567">
            <v>17</v>
          </cell>
          <cell r="G567" t="str">
            <v>Mohawk Valley</v>
          </cell>
          <cell r="H567">
            <v>0.40781375890563903</v>
          </cell>
          <cell r="I567">
            <v>0.40781866215215384</v>
          </cell>
          <cell r="J567">
            <v>0.4061363461524759</v>
          </cell>
          <cell r="K567">
            <v>0.39871522652993885</v>
          </cell>
          <cell r="L567">
            <v>0.4099700096926604</v>
          </cell>
          <cell r="M567">
            <v>0.44684016265406279</v>
          </cell>
        </row>
        <row r="568">
          <cell r="F568">
            <v>18</v>
          </cell>
          <cell r="G568" t="str">
            <v>Monroe</v>
          </cell>
          <cell r="H568">
            <v>0.45333632103502131</v>
          </cell>
          <cell r="I568">
            <v>0.43825661111395975</v>
          </cell>
          <cell r="J568">
            <v>0.4249607948365155</v>
          </cell>
          <cell r="K568">
            <v>0.46469264363267621</v>
          </cell>
          <cell r="L568">
            <v>0.48850834599018411</v>
          </cell>
          <cell r="M568">
            <v>0.50339536941216534</v>
          </cell>
        </row>
        <row r="569">
          <cell r="F569">
            <v>19</v>
          </cell>
          <cell r="G569" t="str">
            <v>Nassau</v>
          </cell>
          <cell r="H569">
            <v>0.36733602563945938</v>
          </cell>
          <cell r="I569">
            <v>0.37523981246107951</v>
          </cell>
          <cell r="J569">
            <v>0.37363618824135414</v>
          </cell>
          <cell r="K569">
            <v>0.38959158305832031</v>
          </cell>
          <cell r="L569">
            <v>0.38620083622982854</v>
          </cell>
          <cell r="M569">
            <v>0.39406362753707325</v>
          </cell>
        </row>
        <row r="570">
          <cell r="F570">
            <v>20</v>
          </cell>
          <cell r="G570" t="str">
            <v>Niagara</v>
          </cell>
          <cell r="H570">
            <v>0.40045673697252721</v>
          </cell>
          <cell r="I570">
            <v>0.41359891074330568</v>
          </cell>
          <cell r="J570">
            <v>0.41776432895779708</v>
          </cell>
          <cell r="K570">
            <v>0.39373079411782463</v>
          </cell>
          <cell r="L570">
            <v>0.40900426679117263</v>
          </cell>
          <cell r="M570">
            <v>0.46607638753701469</v>
          </cell>
        </row>
        <row r="571">
          <cell r="F571">
            <v>21</v>
          </cell>
          <cell r="G571" t="str">
            <v>North Country</v>
          </cell>
          <cell r="H571">
            <v>0.35698464848317085</v>
          </cell>
          <cell r="I571">
            <v>0.36166596255808892</v>
          </cell>
          <cell r="J571">
            <v>0.3607037541807197</v>
          </cell>
          <cell r="K571">
            <v>0.35581532187823461</v>
          </cell>
          <cell r="L571">
            <v>0.40817238460229022</v>
          </cell>
          <cell r="M571">
            <v>0.46898941697902252</v>
          </cell>
        </row>
        <row r="572">
          <cell r="F572">
            <v>22</v>
          </cell>
          <cell r="G572" t="str">
            <v>Onondaga</v>
          </cell>
          <cell r="H572">
            <v>0.44866535716949696</v>
          </cell>
          <cell r="I572">
            <v>0.45763877359805161</v>
          </cell>
          <cell r="J572">
            <v>0.46903206244547668</v>
          </cell>
          <cell r="K572">
            <v>0.46662956022226032</v>
          </cell>
          <cell r="L572">
            <v>0.47303099217555916</v>
          </cell>
          <cell r="M572">
            <v>0.53089212508107086</v>
          </cell>
        </row>
        <row r="573">
          <cell r="F573">
            <v>23</v>
          </cell>
          <cell r="G573" t="str">
            <v>Orange</v>
          </cell>
          <cell r="H573">
            <v>0.34040528090834232</v>
          </cell>
          <cell r="I573">
            <v>0.36435229741004133</v>
          </cell>
          <cell r="J573">
            <v>0.34983986067001627</v>
          </cell>
          <cell r="K573">
            <v>0.36298011541163777</v>
          </cell>
          <cell r="L573">
            <v>0.40300695028682648</v>
          </cell>
          <cell r="M573">
            <v>0.42231645615344582</v>
          </cell>
        </row>
        <row r="574">
          <cell r="F574">
            <v>24</v>
          </cell>
          <cell r="G574" t="str">
            <v>Rockland</v>
          </cell>
          <cell r="H574">
            <v>0.33709503938302221</v>
          </cell>
          <cell r="I574">
            <v>0.35219671103592881</v>
          </cell>
          <cell r="J574">
            <v>0.34895858878942887</v>
          </cell>
          <cell r="K574">
            <v>0.37439702144276321</v>
          </cell>
          <cell r="L574">
            <v>0.39285976228688319</v>
          </cell>
          <cell r="M574">
            <v>0.41511620980472469</v>
          </cell>
        </row>
        <row r="575">
          <cell r="F575">
            <v>25</v>
          </cell>
          <cell r="G575" t="str">
            <v>Schenectady</v>
          </cell>
          <cell r="H575">
            <v>0.42671998065431066</v>
          </cell>
          <cell r="I575">
            <v>0.43858767027586915</v>
          </cell>
          <cell r="J575">
            <v>0.44045538671442674</v>
          </cell>
          <cell r="K575">
            <v>0.44034288145619238</v>
          </cell>
          <cell r="L575">
            <v>0.48413743276302701</v>
          </cell>
          <cell r="M575">
            <v>0.57981037484223852</v>
          </cell>
        </row>
        <row r="576">
          <cell r="F576">
            <v>26</v>
          </cell>
          <cell r="G576" t="str">
            <v>Suffolk</v>
          </cell>
          <cell r="H576">
            <v>0.41035730903159928</v>
          </cell>
          <cell r="I576">
            <v>0.41666380903129563</v>
          </cell>
          <cell r="J576">
            <v>0.41622133670001316</v>
          </cell>
          <cell r="K576">
            <v>0.43033062067917616</v>
          </cell>
          <cell r="L576">
            <v>0.45826718108338815</v>
          </cell>
          <cell r="M576">
            <v>0.489003063072185</v>
          </cell>
        </row>
        <row r="577">
          <cell r="F577">
            <v>27</v>
          </cell>
          <cell r="G577" t="str">
            <v>Sullivan</v>
          </cell>
          <cell r="H577">
            <v>0.27456008815070421</v>
          </cell>
          <cell r="I577">
            <v>0.28799818016748807</v>
          </cell>
          <cell r="J577">
            <v>0.29361703367214831</v>
          </cell>
          <cell r="K577">
            <v>0.29306580401707494</v>
          </cell>
          <cell r="L577">
            <v>0.33531418726934398</v>
          </cell>
          <cell r="M577">
            <v>0.33333333333333331</v>
          </cell>
        </row>
        <row r="578">
          <cell r="F578">
            <v>28</v>
          </cell>
          <cell r="G578" t="str">
            <v>Tompkins-Cortland</v>
          </cell>
          <cell r="H578">
            <v>0.43215458198837414</v>
          </cell>
          <cell r="I578">
            <v>0.44519667533976853</v>
          </cell>
          <cell r="J578">
            <v>0.43078192138114368</v>
          </cell>
          <cell r="K578">
            <v>0.43621897932840897</v>
          </cell>
          <cell r="L578">
            <v>0.4395079223940016</v>
          </cell>
          <cell r="M578">
            <v>0.46810972897609693</v>
          </cell>
        </row>
        <row r="579">
          <cell r="F579">
            <v>29</v>
          </cell>
          <cell r="G579" t="str">
            <v>Ulster</v>
          </cell>
          <cell r="H579">
            <v>0.34911348737652631</v>
          </cell>
          <cell r="I579">
            <v>0.35569439636541861</v>
          </cell>
          <cell r="J579">
            <v>0.36239319418632809</v>
          </cell>
          <cell r="K579">
            <v>0.3807086154315476</v>
          </cell>
          <cell r="L579">
            <v>0.38972932241759006</v>
          </cell>
          <cell r="M579">
            <v>0.41325920876788241</v>
          </cell>
        </row>
        <row r="580">
          <cell r="F580">
            <v>30</v>
          </cell>
          <cell r="G580" t="str">
            <v>Westchester</v>
          </cell>
          <cell r="H580">
            <v>0.38303877120175206</v>
          </cell>
          <cell r="I580">
            <v>0.36914242255250845</v>
          </cell>
          <cell r="J580">
            <v>0.3701613316442971</v>
          </cell>
          <cell r="K580">
            <v>0.38304892113186867</v>
          </cell>
          <cell r="L580">
            <v>0.38760473409714563</v>
          </cell>
          <cell r="M580">
            <v>0.42085617210737475</v>
          </cell>
        </row>
        <row r="582">
          <cell r="F582">
            <v>0</v>
          </cell>
          <cell r="G582" t="str">
            <v>Community Colleges</v>
          </cell>
          <cell r="H582">
            <v>0.32003779638626184</v>
          </cell>
          <cell r="I582">
            <v>0.30453849563232999</v>
          </cell>
          <cell r="J582">
            <v>0.30507336442076499</v>
          </cell>
          <cell r="K582">
            <v>0.29269875776913923</v>
          </cell>
          <cell r="L582">
            <v>0.28402919339073401</v>
          </cell>
          <cell r="M582">
            <v>0.27012013242224414</v>
          </cell>
        </row>
        <row r="583">
          <cell r="F583">
            <v>1</v>
          </cell>
          <cell r="G583" t="str">
            <v>Adirondack</v>
          </cell>
          <cell r="H583">
            <v>0.23592812663259852</v>
          </cell>
          <cell r="I583">
            <v>0.24405416955818185</v>
          </cell>
          <cell r="J583">
            <v>0.23273461932537315</v>
          </cell>
          <cell r="K583">
            <v>0.21879133524843195</v>
          </cell>
          <cell r="L583">
            <v>0.26818511397029909</v>
          </cell>
          <cell r="M583">
            <v>0.22701693906561393</v>
          </cell>
        </row>
        <row r="584">
          <cell r="F584">
            <v>2</v>
          </cell>
          <cell r="G584" t="str">
            <v>Broome</v>
          </cell>
          <cell r="H584">
            <v>0.29233398271386329</v>
          </cell>
          <cell r="I584">
            <v>0.26550341327641985</v>
          </cell>
          <cell r="J584">
            <v>0.26264816207323566</v>
          </cell>
          <cell r="K584">
            <v>0.27309247698000605</v>
          </cell>
          <cell r="L584">
            <v>0.2250747946769372</v>
          </cell>
          <cell r="M584">
            <v>0.25528095436149412</v>
          </cell>
        </row>
        <row r="585">
          <cell r="F585">
            <v>3</v>
          </cell>
          <cell r="G585" t="str">
            <v>Cayuga</v>
          </cell>
          <cell r="H585">
            <v>0.25327046453385521</v>
          </cell>
          <cell r="I585">
            <v>0.25705182628166251</v>
          </cell>
          <cell r="J585">
            <v>0.26144614347831113</v>
          </cell>
          <cell r="K585">
            <v>0.26068285057220714</v>
          </cell>
          <cell r="L585">
            <v>0.25613895924163788</v>
          </cell>
          <cell r="M585">
            <v>0.21339782151471121</v>
          </cell>
        </row>
        <row r="586">
          <cell r="F586">
            <v>4</v>
          </cell>
          <cell r="G586" t="str">
            <v>Clinton</v>
          </cell>
          <cell r="H586">
            <v>0.25384155593067248</v>
          </cell>
          <cell r="I586">
            <v>0.25966407927651802</v>
          </cell>
          <cell r="J586">
            <v>0.26121829063646101</v>
          </cell>
          <cell r="K586">
            <v>0.24733844932721175</v>
          </cell>
          <cell r="L586">
            <v>0.24750462198322074</v>
          </cell>
          <cell r="M586">
            <v>0.26177366826939924</v>
          </cell>
        </row>
        <row r="587">
          <cell r="F587">
            <v>5</v>
          </cell>
          <cell r="G587" t="str">
            <v>Columbia-Greene</v>
          </cell>
          <cell r="H587">
            <v>0.43185214585577814</v>
          </cell>
          <cell r="I587">
            <v>0.42155052757147843</v>
          </cell>
          <cell r="J587">
            <v>0.41187444890982161</v>
          </cell>
          <cell r="K587">
            <v>0.38655386877582543</v>
          </cell>
          <cell r="L587">
            <v>0.34364691056437696</v>
          </cell>
          <cell r="M587">
            <v>0.35375755176695456</v>
          </cell>
        </row>
        <row r="588">
          <cell r="F588">
            <v>6</v>
          </cell>
          <cell r="G588" t="str">
            <v>Corning</v>
          </cell>
          <cell r="H588">
            <v>0.29305729391768948</v>
          </cell>
          <cell r="I588">
            <v>0.30414612322033285</v>
          </cell>
          <cell r="J588">
            <v>0.28866914747124905</v>
          </cell>
          <cell r="K588">
            <v>0.31012966187816721</v>
          </cell>
          <cell r="L588">
            <v>0.2767621865056652</v>
          </cell>
          <cell r="M588">
            <v>0.25670698718239054</v>
          </cell>
        </row>
        <row r="589">
          <cell r="F589">
            <v>7</v>
          </cell>
          <cell r="G589" t="str">
            <v>Dutchess</v>
          </cell>
          <cell r="H589">
            <v>0.29360341512797944</v>
          </cell>
          <cell r="I589">
            <v>0.2363879381920436</v>
          </cell>
          <cell r="J589">
            <v>0.26086607112828814</v>
          </cell>
          <cell r="K589">
            <v>0.23929763245532068</v>
          </cell>
          <cell r="L589">
            <v>0.22672829571992667</v>
          </cell>
          <cell r="M589">
            <v>0.19442223858859453</v>
          </cell>
        </row>
        <row r="590">
          <cell r="F590">
            <v>8</v>
          </cell>
          <cell r="G590" t="str">
            <v>Erie</v>
          </cell>
          <cell r="H590">
            <v>0.22495226188678477</v>
          </cell>
          <cell r="I590">
            <v>0.21235134419467558</v>
          </cell>
          <cell r="J590">
            <v>0.20882232459437886</v>
          </cell>
          <cell r="K590">
            <v>0.20329019348660807</v>
          </cell>
          <cell r="L590">
            <v>0.15689051533047238</v>
          </cell>
          <cell r="M590">
            <v>0.15343583516826378</v>
          </cell>
        </row>
        <row r="591">
          <cell r="F591">
            <v>9</v>
          </cell>
          <cell r="G591" t="str">
            <v>Fashion Institute</v>
          </cell>
          <cell r="H591">
            <v>0.56206580676001605</v>
          </cell>
          <cell r="I591">
            <v>0.54334055652669311</v>
          </cell>
          <cell r="J591">
            <v>0.56568114820128634</v>
          </cell>
          <cell r="K591">
            <v>0.56699285849700298</v>
          </cell>
          <cell r="L591">
            <v>0.59195110440372334</v>
          </cell>
          <cell r="M591">
            <v>0.58168434389361856</v>
          </cell>
        </row>
        <row r="592">
          <cell r="F592">
            <v>10</v>
          </cell>
          <cell r="G592" t="str">
            <v>Finger Lakes</v>
          </cell>
          <cell r="H592">
            <v>0.31314306754046822</v>
          </cell>
          <cell r="I592">
            <v>0.28746847673751991</v>
          </cell>
          <cell r="J592">
            <v>0.26394963057668308</v>
          </cell>
          <cell r="K592">
            <v>0.24511980012982276</v>
          </cell>
          <cell r="L592">
            <v>0.21556487069117375</v>
          </cell>
          <cell r="M592">
            <v>0.20777533898796807</v>
          </cell>
        </row>
        <row r="593">
          <cell r="F593">
            <v>11</v>
          </cell>
          <cell r="G593" t="str">
            <v>Fulton-Montgomery</v>
          </cell>
          <cell r="H593">
            <v>0.32161049649398632</v>
          </cell>
          <cell r="I593">
            <v>0.28258935386040146</v>
          </cell>
          <cell r="J593">
            <v>0.26353060419301555</v>
          </cell>
          <cell r="K593">
            <v>0.26395924272708121</v>
          </cell>
          <cell r="L593">
            <v>0.2146862160099452</v>
          </cell>
          <cell r="M593">
            <v>0.21013812815697538</v>
          </cell>
        </row>
        <row r="594">
          <cell r="F594">
            <v>12</v>
          </cell>
          <cell r="G594" t="str">
            <v>Genesee</v>
          </cell>
          <cell r="H594">
            <v>0.17539537290947135</v>
          </cell>
          <cell r="I594">
            <v>0.15000272767201825</v>
          </cell>
          <cell r="J594">
            <v>0.14331837129006081</v>
          </cell>
          <cell r="K594">
            <v>0.16898821977026213</v>
          </cell>
          <cell r="L594">
            <v>0.1591431184014549</v>
          </cell>
          <cell r="M594">
            <v>0.19333235225406359</v>
          </cell>
        </row>
        <row r="595">
          <cell r="F595">
            <v>13</v>
          </cell>
          <cell r="G595" t="str">
            <v>Herkimer</v>
          </cell>
          <cell r="H595">
            <v>0.24489521059682623</v>
          </cell>
          <cell r="I595">
            <v>0.25977868353928502</v>
          </cell>
          <cell r="J595">
            <v>0.24278074899067212</v>
          </cell>
          <cell r="K595">
            <v>0.24262099506223384</v>
          </cell>
          <cell r="L595">
            <v>0.1956618591244022</v>
          </cell>
          <cell r="M595">
            <v>0.14968620407192254</v>
          </cell>
        </row>
        <row r="596">
          <cell r="F596">
            <v>14</v>
          </cell>
          <cell r="G596" t="str">
            <v>Hudson Valley</v>
          </cell>
          <cell r="H596">
            <v>0.2515360643613328</v>
          </cell>
          <cell r="I596">
            <v>0.23864464948069902</v>
          </cell>
          <cell r="J596">
            <v>0.26326298486011113</v>
          </cell>
          <cell r="K596">
            <v>0.24760101428993184</v>
          </cell>
          <cell r="L596">
            <v>0.29125683588282436</v>
          </cell>
          <cell r="M596">
            <v>0.26780159771127732</v>
          </cell>
        </row>
        <row r="597">
          <cell r="F597">
            <v>15</v>
          </cell>
          <cell r="G597" t="str">
            <v>Jamestown</v>
          </cell>
          <cell r="H597">
            <v>0.29253430239331868</v>
          </cell>
          <cell r="I597">
            <v>0.25635497269293778</v>
          </cell>
          <cell r="J597">
            <v>0.251920047612466</v>
          </cell>
          <cell r="K597">
            <v>0.23734364179245507</v>
          </cell>
          <cell r="L597">
            <v>0.24866983230030207</v>
          </cell>
          <cell r="M597">
            <v>0.1983803994506734</v>
          </cell>
        </row>
        <row r="598">
          <cell r="F598">
            <v>16</v>
          </cell>
          <cell r="G598" t="str">
            <v>Jefferson</v>
          </cell>
          <cell r="H598">
            <v>0.24653689270631968</v>
          </cell>
          <cell r="I598">
            <v>0.23896763332278864</v>
          </cell>
          <cell r="J598">
            <v>0.2336740898583459</v>
          </cell>
          <cell r="K598">
            <v>0.27884202346572734</v>
          </cell>
          <cell r="L598">
            <v>0.28241441266630968</v>
          </cell>
          <cell r="M598">
            <v>0.2397273517209412</v>
          </cell>
        </row>
        <row r="599">
          <cell r="F599">
            <v>17</v>
          </cell>
          <cell r="G599" t="str">
            <v>Mohawk Valley</v>
          </cell>
          <cell r="H599">
            <v>0.26541641786771802</v>
          </cell>
          <cell r="I599">
            <v>0.25048479451331052</v>
          </cell>
          <cell r="J599">
            <v>0.24670578578130323</v>
          </cell>
          <cell r="K599">
            <v>0.2588386143389439</v>
          </cell>
          <cell r="L599">
            <v>0.26086965600304468</v>
          </cell>
          <cell r="M599">
            <v>0.23758901127694523</v>
          </cell>
        </row>
        <row r="600">
          <cell r="F600">
            <v>18</v>
          </cell>
          <cell r="G600" t="str">
            <v>Monroe</v>
          </cell>
          <cell r="H600">
            <v>0.19037230297765281</v>
          </cell>
          <cell r="I600">
            <v>0.18422958439901288</v>
          </cell>
          <cell r="J600">
            <v>0.18651074661574804</v>
          </cell>
          <cell r="K600">
            <v>0.13530735218692116</v>
          </cell>
          <cell r="L600">
            <v>0.11270560708951008</v>
          </cell>
          <cell r="M600">
            <v>0.11740654196243369</v>
          </cell>
        </row>
        <row r="601">
          <cell r="F601">
            <v>19</v>
          </cell>
          <cell r="G601" t="str">
            <v>Nassau</v>
          </cell>
          <cell r="H601">
            <v>0.37213879414967826</v>
          </cell>
          <cell r="I601">
            <v>0.35874706740046247</v>
          </cell>
          <cell r="J601">
            <v>0.36071911192558009</v>
          </cell>
          <cell r="K601">
            <v>0.33252168411848709</v>
          </cell>
          <cell r="L601">
            <v>0.34689702392125316</v>
          </cell>
          <cell r="M601">
            <v>0.35697553305034874</v>
          </cell>
        </row>
        <row r="602">
          <cell r="F602">
            <v>20</v>
          </cell>
          <cell r="G602" t="str">
            <v>Niagara</v>
          </cell>
          <cell r="H602">
            <v>0.30501520134246679</v>
          </cell>
          <cell r="I602">
            <v>0.29320060325988412</v>
          </cell>
          <cell r="J602">
            <v>0.27400366021861972</v>
          </cell>
          <cell r="K602">
            <v>0.30437720368650167</v>
          </cell>
          <cell r="L602">
            <v>0.28782320307979775</v>
          </cell>
          <cell r="M602">
            <v>0.23428299501402489</v>
          </cell>
        </row>
        <row r="603">
          <cell r="F603">
            <v>21</v>
          </cell>
          <cell r="G603" t="str">
            <v>North Country</v>
          </cell>
          <cell r="H603">
            <v>0.35406599312099607</v>
          </cell>
          <cell r="I603">
            <v>0.2986328627888199</v>
          </cell>
          <cell r="J603">
            <v>0.28889681246289872</v>
          </cell>
          <cell r="K603">
            <v>0.29828997498747117</v>
          </cell>
          <cell r="L603">
            <v>0.21772006039219655</v>
          </cell>
          <cell r="M603">
            <v>0.18745976083623578</v>
          </cell>
        </row>
        <row r="604">
          <cell r="F604">
            <v>22</v>
          </cell>
          <cell r="G604" t="str">
            <v>Onondaga</v>
          </cell>
          <cell r="H604">
            <v>0.23723699412383864</v>
          </cell>
          <cell r="I604">
            <v>0.21297239553680936</v>
          </cell>
          <cell r="J604">
            <v>0.19542821974941721</v>
          </cell>
          <cell r="K604">
            <v>0.19046697720958911</v>
          </cell>
          <cell r="L604">
            <v>0.17420354020568052</v>
          </cell>
          <cell r="M604">
            <v>0.13103297413883763</v>
          </cell>
        </row>
        <row r="605">
          <cell r="F605">
            <v>23</v>
          </cell>
          <cell r="G605" t="str">
            <v>Orange</v>
          </cell>
          <cell r="H605">
            <v>0.39439213299018661</v>
          </cell>
          <cell r="I605">
            <v>0.37843905102352637</v>
          </cell>
          <cell r="J605">
            <v>0.39280231777663183</v>
          </cell>
          <cell r="K605">
            <v>0.3690951898205605</v>
          </cell>
          <cell r="L605">
            <v>0.33116392043812437</v>
          </cell>
          <cell r="M605">
            <v>0.3226459603914375</v>
          </cell>
        </row>
        <row r="606">
          <cell r="F606">
            <v>24</v>
          </cell>
          <cell r="G606" t="str">
            <v>Rockland</v>
          </cell>
          <cell r="H606">
            <v>0.3944795806023586</v>
          </cell>
          <cell r="I606">
            <v>0.38441348393410901</v>
          </cell>
          <cell r="J606">
            <v>0.37011805548674143</v>
          </cell>
          <cell r="K606">
            <v>0.3424183978957554</v>
          </cell>
          <cell r="L606">
            <v>0.32792141086979287</v>
          </cell>
          <cell r="M606">
            <v>0.30277366162458608</v>
          </cell>
        </row>
        <row r="607">
          <cell r="F607">
            <v>25</v>
          </cell>
          <cell r="G607" t="str">
            <v>Schenectady</v>
          </cell>
          <cell r="H607">
            <v>0.21045103441163701</v>
          </cell>
          <cell r="I607">
            <v>0.19817650221112787</v>
          </cell>
          <cell r="J607">
            <v>0.1739779020327574</v>
          </cell>
          <cell r="K607">
            <v>0.17066502234036557</v>
          </cell>
          <cell r="L607">
            <v>0.14523839095420965</v>
          </cell>
          <cell r="M607">
            <v>2.5473770968774661E-2</v>
          </cell>
        </row>
        <row r="608">
          <cell r="F608">
            <v>26</v>
          </cell>
          <cell r="G608" t="str">
            <v>Suffolk</v>
          </cell>
          <cell r="H608">
            <v>0.30534544711196854</v>
          </cell>
          <cell r="I608">
            <v>0.28853206793339448</v>
          </cell>
          <cell r="J608">
            <v>0.28314506915054027</v>
          </cell>
          <cell r="K608">
            <v>0.26002357475682919</v>
          </cell>
          <cell r="L608">
            <v>0.22757942332849812</v>
          </cell>
          <cell r="M608">
            <v>0.21193004470497073</v>
          </cell>
        </row>
        <row r="609">
          <cell r="F609">
            <v>27</v>
          </cell>
          <cell r="G609" t="str">
            <v>Sullivan</v>
          </cell>
          <cell r="H609">
            <v>0.47315147244955436</v>
          </cell>
          <cell r="I609">
            <v>0.45329667624194819</v>
          </cell>
          <cell r="J609">
            <v>0.43109539444206679</v>
          </cell>
          <cell r="K609">
            <v>0.44764651382757847</v>
          </cell>
          <cell r="L609">
            <v>0.41396320194676622</v>
          </cell>
          <cell r="M609">
            <v>0.42371245712085898</v>
          </cell>
        </row>
        <row r="610">
          <cell r="F610">
            <v>28</v>
          </cell>
          <cell r="G610" t="str">
            <v>Tompkins-Cortland</v>
          </cell>
          <cell r="H610">
            <v>0.2730476698226208</v>
          </cell>
          <cell r="I610">
            <v>0.26005297250462406</v>
          </cell>
          <cell r="J610">
            <v>0.27204123508425526</v>
          </cell>
          <cell r="K610">
            <v>0.26581986111515848</v>
          </cell>
          <cell r="L610">
            <v>0.26213848739989465</v>
          </cell>
          <cell r="M610">
            <v>0.25177402606469962</v>
          </cell>
        </row>
        <row r="611">
          <cell r="F611">
            <v>29</v>
          </cell>
          <cell r="G611" t="str">
            <v>Ulster</v>
          </cell>
          <cell r="H611">
            <v>0.36741678129673605</v>
          </cell>
          <cell r="I611">
            <v>0.37078985727479313</v>
          </cell>
          <cell r="J611">
            <v>0.3479071316305703</v>
          </cell>
          <cell r="K611">
            <v>0.33560351626287954</v>
          </cell>
          <cell r="L611">
            <v>0.33547191109608582</v>
          </cell>
          <cell r="M611">
            <v>0.31035207856567992</v>
          </cell>
        </row>
        <row r="612">
          <cell r="F612">
            <v>30</v>
          </cell>
          <cell r="G612" t="str">
            <v>Westchester</v>
          </cell>
          <cell r="H612">
            <v>0.32650033381800986</v>
          </cell>
          <cell r="I612">
            <v>0.30737565897348545</v>
          </cell>
          <cell r="J612">
            <v>0.31055224579266111</v>
          </cell>
          <cell r="K612">
            <v>0.29104915759011818</v>
          </cell>
          <cell r="L612">
            <v>0.27850102316683134</v>
          </cell>
          <cell r="M612">
            <v>0.26772568104424876</v>
          </cell>
        </row>
        <row r="614">
          <cell r="F614">
            <v>0</v>
          </cell>
          <cell r="G614" t="str">
            <v>Community Colleges</v>
          </cell>
          <cell r="H614">
            <v>2310.3244939916353</v>
          </cell>
          <cell r="I614">
            <v>2402.0343304672019</v>
          </cell>
          <cell r="J614">
            <v>2539.2573168150975</v>
          </cell>
          <cell r="K614">
            <v>2531.0865301394338</v>
          </cell>
          <cell r="L614">
            <v>2529.6738364782632</v>
          </cell>
          <cell r="M614">
            <v>2389.9563749412569</v>
          </cell>
        </row>
        <row r="615">
          <cell r="F615">
            <v>1</v>
          </cell>
          <cell r="G615" t="str">
            <v>Adirondack</v>
          </cell>
          <cell r="H615">
            <v>1687.0593333333331</v>
          </cell>
          <cell r="I615">
            <v>1826.4077737049588</v>
          </cell>
          <cell r="J615">
            <v>1931.4554441850885</v>
          </cell>
          <cell r="K615">
            <v>1969.8046981698988</v>
          </cell>
          <cell r="L615">
            <v>1909.5702641017281</v>
          </cell>
          <cell r="M615">
            <v>1735.2645718958065</v>
          </cell>
        </row>
        <row r="616">
          <cell r="F616">
            <v>2</v>
          </cell>
          <cell r="G616" t="str">
            <v>Broome</v>
          </cell>
          <cell r="H616">
            <v>1759.0078467099656</v>
          </cell>
          <cell r="I616">
            <v>1856.6953394275438</v>
          </cell>
          <cell r="J616">
            <v>1913.0269233075492</v>
          </cell>
          <cell r="K616">
            <v>1872.4938373048478</v>
          </cell>
          <cell r="L616">
            <v>1847.6517852090758</v>
          </cell>
          <cell r="M616">
            <v>1805.3099250438572</v>
          </cell>
        </row>
        <row r="617">
          <cell r="F617">
            <v>3</v>
          </cell>
          <cell r="G617" t="str">
            <v>Cayuga</v>
          </cell>
          <cell r="H617">
            <v>1994.4986711766126</v>
          </cell>
          <cell r="I617">
            <v>2259.6031535122684</v>
          </cell>
          <cell r="J617">
            <v>2293.5434149683165</v>
          </cell>
          <cell r="K617">
            <v>2216.1178222737049</v>
          </cell>
          <cell r="L617">
            <v>2240.5197758466657</v>
          </cell>
          <cell r="M617">
            <v>1999.9408783783783</v>
          </cell>
        </row>
        <row r="618">
          <cell r="F618">
            <v>4</v>
          </cell>
          <cell r="G618" t="str">
            <v>Clinton</v>
          </cell>
          <cell r="H618">
            <v>1613.0788804071244</v>
          </cell>
          <cell r="I618">
            <v>1636.506456241033</v>
          </cell>
          <cell r="J618">
            <v>1903.5985207661672</v>
          </cell>
          <cell r="K618">
            <v>2226.6286594761168</v>
          </cell>
          <cell r="L618">
            <v>2279.0538352560206</v>
          </cell>
          <cell r="M618">
            <v>2205.2706125128971</v>
          </cell>
        </row>
        <row r="619">
          <cell r="F619">
            <v>5</v>
          </cell>
          <cell r="G619" t="str">
            <v>Columbia-Greene</v>
          </cell>
          <cell r="H619">
            <v>3830.3212851405619</v>
          </cell>
          <cell r="I619">
            <v>3933.6446779529088</v>
          </cell>
          <cell r="J619">
            <v>4059.4816869082911</v>
          </cell>
          <cell r="K619">
            <v>4180.4164321890821</v>
          </cell>
          <cell r="L619">
            <v>4109.7452342775678</v>
          </cell>
          <cell r="M619">
            <v>3768.4176809737346</v>
          </cell>
        </row>
        <row r="620">
          <cell r="F620">
            <v>6</v>
          </cell>
          <cell r="G620" t="str">
            <v>Corning</v>
          </cell>
          <cell r="H620">
            <v>2117.4268304540883</v>
          </cell>
          <cell r="I620">
            <v>2193.5065703022337</v>
          </cell>
          <cell r="J620">
            <v>2553.7662075372618</v>
          </cell>
          <cell r="K620">
            <v>2658.7432321575061</v>
          </cell>
          <cell r="L620">
            <v>2577.5018381709319</v>
          </cell>
          <cell r="M620">
            <v>2570.7968127490039</v>
          </cell>
        </row>
        <row r="621">
          <cell r="F621">
            <v>7</v>
          </cell>
          <cell r="G621" t="str">
            <v>Dutchess</v>
          </cell>
          <cell r="H621">
            <v>1821.4695722076171</v>
          </cell>
          <cell r="I621">
            <v>1796.4250136034489</v>
          </cell>
          <cell r="J621">
            <v>1917.0031280834714</v>
          </cell>
          <cell r="K621">
            <v>1973.3365473381884</v>
          </cell>
          <cell r="L621">
            <v>2022.222263686233</v>
          </cell>
          <cell r="M621">
            <v>1812.6909632206591</v>
          </cell>
        </row>
        <row r="622">
          <cell r="F622">
            <v>8</v>
          </cell>
          <cell r="G622" t="str">
            <v>Erie</v>
          </cell>
          <cell r="H622">
            <v>1448.6061104627804</v>
          </cell>
          <cell r="I622">
            <v>1474.4015174680833</v>
          </cell>
          <cell r="J622">
            <v>1458.4164658065124</v>
          </cell>
          <cell r="K622">
            <v>1541.1215675005835</v>
          </cell>
          <cell r="L622">
            <v>1481.0260070865868</v>
          </cell>
          <cell r="M622">
            <v>1410.195962619847</v>
          </cell>
        </row>
        <row r="623">
          <cell r="F623">
            <v>9</v>
          </cell>
          <cell r="G623" t="str">
            <v>Fashion Institute</v>
          </cell>
          <cell r="H623">
            <v>9314.3822816597076</v>
          </cell>
          <cell r="I623">
            <v>9399.1538256780332</v>
          </cell>
          <cell r="J623">
            <v>12328.91882322647</v>
          </cell>
          <cell r="K623">
            <v>12524.608279619908</v>
          </cell>
          <cell r="L623">
            <v>14218.044625958757</v>
          </cell>
          <cell r="M623">
            <v>15310.441116819902</v>
          </cell>
        </row>
        <row r="624">
          <cell r="F624">
            <v>10</v>
          </cell>
          <cell r="G624" t="str">
            <v>Finger Lakes</v>
          </cell>
          <cell r="H624">
            <v>1788.1567389514134</v>
          </cell>
          <cell r="I624">
            <v>1847.109055566727</v>
          </cell>
          <cell r="J624">
            <v>1956.5824762400728</v>
          </cell>
          <cell r="K624">
            <v>2057.746395025797</v>
          </cell>
          <cell r="L624">
            <v>1960.4919236417029</v>
          </cell>
          <cell r="M624">
            <v>1742.7542695529205</v>
          </cell>
        </row>
        <row r="625">
          <cell r="F625">
            <v>11</v>
          </cell>
          <cell r="G625" t="str">
            <v>Fulton-Montgomery</v>
          </cell>
          <cell r="H625">
            <v>1983.7914012738852</v>
          </cell>
          <cell r="I625">
            <v>2021.5616224648984</v>
          </cell>
          <cell r="J625">
            <v>2094.5000389074776</v>
          </cell>
          <cell r="K625">
            <v>2029.9898196625945</v>
          </cell>
          <cell r="L625">
            <v>1891.7408687402585</v>
          </cell>
          <cell r="M625">
            <v>1670.8415130476417</v>
          </cell>
        </row>
        <row r="626">
          <cell r="F626">
            <v>12</v>
          </cell>
          <cell r="G626" t="str">
            <v>Genesee</v>
          </cell>
          <cell r="H626">
            <v>1492.6278689933808</v>
          </cell>
          <cell r="I626">
            <v>1537.4304940676464</v>
          </cell>
          <cell r="J626">
            <v>1666.8657002975904</v>
          </cell>
          <cell r="K626">
            <v>1712.7159112105949</v>
          </cell>
          <cell r="L626">
            <v>1656.6031439360672</v>
          </cell>
          <cell r="M626">
            <v>1690.1230688661951</v>
          </cell>
        </row>
        <row r="627">
          <cell r="F627">
            <v>13</v>
          </cell>
          <cell r="G627" t="str">
            <v>Herkimer</v>
          </cell>
          <cell r="H627">
            <v>2001.9091400757163</v>
          </cell>
          <cell r="I627">
            <v>1643.4809634809633</v>
          </cell>
          <cell r="J627">
            <v>1837.9106628242073</v>
          </cell>
          <cell r="K627">
            <v>1959.5983139102404</v>
          </cell>
          <cell r="L627">
            <v>1826.4525075109773</v>
          </cell>
          <cell r="M627">
            <v>1652.2565609484243</v>
          </cell>
        </row>
        <row r="628">
          <cell r="F628">
            <v>14</v>
          </cell>
          <cell r="G628" t="str">
            <v>Hudson Valley</v>
          </cell>
          <cell r="H628">
            <v>1304.3966090425531</v>
          </cell>
          <cell r="I628">
            <v>1290.7722674562051</v>
          </cell>
          <cell r="J628">
            <v>1369.4428689847737</v>
          </cell>
          <cell r="K628">
            <v>1328.9724374444302</v>
          </cell>
          <cell r="L628">
            <v>1269.319422540337</v>
          </cell>
          <cell r="M628">
            <v>1143.9973759020336</v>
          </cell>
        </row>
        <row r="629">
          <cell r="F629">
            <v>15</v>
          </cell>
          <cell r="G629" t="str">
            <v>Jamestown</v>
          </cell>
          <cell r="H629">
            <v>1909.9865447781865</v>
          </cell>
          <cell r="I629">
            <v>1970.0103068262902</v>
          </cell>
          <cell r="J629">
            <v>2030.0130636158503</v>
          </cell>
          <cell r="K629">
            <v>2079.9610459574819</v>
          </cell>
          <cell r="L629">
            <v>2220.001549006699</v>
          </cell>
          <cell r="M629">
            <v>2206.9748569908206</v>
          </cell>
        </row>
        <row r="630">
          <cell r="F630">
            <v>16</v>
          </cell>
          <cell r="G630" t="str">
            <v>Jefferson</v>
          </cell>
          <cell r="H630">
            <v>1453.6988177989749</v>
          </cell>
          <cell r="I630">
            <v>1652.5596053713346</v>
          </cell>
          <cell r="J630">
            <v>1867.2623813336381</v>
          </cell>
          <cell r="K630">
            <v>2142.4234664845794</v>
          </cell>
          <cell r="L630">
            <v>2121.7395210213695</v>
          </cell>
          <cell r="M630">
            <v>2028.7211184694627</v>
          </cell>
        </row>
        <row r="631">
          <cell r="F631">
            <v>17</v>
          </cell>
          <cell r="G631" t="str">
            <v>Mohawk Valley</v>
          </cell>
          <cell r="H631">
            <v>1927.4294110518661</v>
          </cell>
          <cell r="I631">
            <v>2051.4473015873014</v>
          </cell>
          <cell r="J631">
            <v>2104.0870205132919</v>
          </cell>
          <cell r="K631">
            <v>2130.473535085604</v>
          </cell>
          <cell r="L631">
            <v>2091.3817868428609</v>
          </cell>
          <cell r="M631">
            <v>1849.2900144791322</v>
          </cell>
        </row>
        <row r="632">
          <cell r="F632">
            <v>18</v>
          </cell>
          <cell r="G632" t="str">
            <v>Monroe</v>
          </cell>
          <cell r="H632">
            <v>1181.1700025770981</v>
          </cell>
          <cell r="I632">
            <v>1198.1694393259106</v>
          </cell>
          <cell r="J632">
            <v>1249.3108783411285</v>
          </cell>
          <cell r="K632">
            <v>1217.865445097771</v>
          </cell>
          <cell r="L632">
            <v>1172.2235742678672</v>
          </cell>
          <cell r="M632">
            <v>1162.5811103100216</v>
          </cell>
        </row>
        <row r="633">
          <cell r="F633">
            <v>19</v>
          </cell>
          <cell r="G633" t="str">
            <v>Nassau</v>
          </cell>
          <cell r="H633">
            <v>3127.3464729083535</v>
          </cell>
          <cell r="I633">
            <v>3388.2341765241126</v>
          </cell>
          <cell r="J633">
            <v>3425.5690374494425</v>
          </cell>
          <cell r="K633">
            <v>3551.5939580712193</v>
          </cell>
          <cell r="L633">
            <v>3564.6073645183974</v>
          </cell>
          <cell r="M633">
            <v>3328.8624697923242</v>
          </cell>
        </row>
        <row r="634">
          <cell r="F634">
            <v>20</v>
          </cell>
          <cell r="G634" t="str">
            <v>Niagara</v>
          </cell>
          <cell r="H634">
            <v>2409.0839343256098</v>
          </cell>
          <cell r="I634">
            <v>2518.3920533912769</v>
          </cell>
          <cell r="J634">
            <v>2697.8856695379795</v>
          </cell>
          <cell r="K634">
            <v>2537.398815823346</v>
          </cell>
          <cell r="L634">
            <v>2443.532393124724</v>
          </cell>
          <cell r="M634">
            <v>2215.3131555289178</v>
          </cell>
        </row>
        <row r="635">
          <cell r="F635">
            <v>21</v>
          </cell>
          <cell r="G635" t="str">
            <v>North Country</v>
          </cell>
          <cell r="H635">
            <v>2399.2608315644898</v>
          </cell>
          <cell r="I635">
            <v>2433.985714285714</v>
          </cell>
          <cell r="J635">
            <v>2656.2523422860709</v>
          </cell>
          <cell r="K635">
            <v>2656.155245603396</v>
          </cell>
          <cell r="L635">
            <v>2702.7027027027025</v>
          </cell>
          <cell r="M635">
            <v>2482.5284239073744</v>
          </cell>
        </row>
        <row r="636">
          <cell r="F636">
            <v>22</v>
          </cell>
          <cell r="G636" t="str">
            <v>Onondaga</v>
          </cell>
          <cell r="H636">
            <v>1460.8952287260204</v>
          </cell>
          <cell r="I636">
            <v>1476.6672626497407</v>
          </cell>
          <cell r="J636">
            <v>1456.5888812628689</v>
          </cell>
          <cell r="K636">
            <v>1381.7406448882593</v>
          </cell>
          <cell r="L636">
            <v>1388.4276808370662</v>
          </cell>
          <cell r="M636">
            <v>1311.2232067572963</v>
          </cell>
        </row>
        <row r="637">
          <cell r="F637">
            <v>23</v>
          </cell>
          <cell r="G637" t="str">
            <v>Orange</v>
          </cell>
          <cell r="H637">
            <v>3488.5533015656906</v>
          </cell>
          <cell r="I637">
            <v>3669.966396738831</v>
          </cell>
          <cell r="J637">
            <v>3969.6396371782962</v>
          </cell>
          <cell r="K637">
            <v>3985.4592868547097</v>
          </cell>
          <cell r="L637">
            <v>4074.9378507906399</v>
          </cell>
          <cell r="M637">
            <v>4063.5045243335776</v>
          </cell>
        </row>
        <row r="638">
          <cell r="F638">
            <v>24</v>
          </cell>
          <cell r="G638" t="str">
            <v>Rockland</v>
          </cell>
          <cell r="H638">
            <v>3342.4113275963327</v>
          </cell>
          <cell r="I638">
            <v>3393.0785003670603</v>
          </cell>
          <cell r="J638">
            <v>3187.031785284842</v>
          </cell>
          <cell r="K638">
            <v>3252.8886883008231</v>
          </cell>
          <cell r="L638">
            <v>3127.6874691662551</v>
          </cell>
          <cell r="M638">
            <v>2913.1905805653905</v>
          </cell>
        </row>
        <row r="639">
          <cell r="F639">
            <v>25</v>
          </cell>
          <cell r="G639" t="str">
            <v>Schenectady</v>
          </cell>
          <cell r="H639">
            <v>1052.7286408890945</v>
          </cell>
          <cell r="I639">
            <v>1046.8508605307084</v>
          </cell>
          <cell r="J639">
            <v>1161.0856278366111</v>
          </cell>
          <cell r="K639">
            <v>1156.1880084362758</v>
          </cell>
          <cell r="L639">
            <v>1121.035391777441</v>
          </cell>
          <cell r="M639">
            <v>1016.7598469066421</v>
          </cell>
        </row>
        <row r="640">
          <cell r="F640">
            <v>26</v>
          </cell>
          <cell r="G640" t="str">
            <v>Suffolk</v>
          </cell>
          <cell r="H640">
            <v>2210.8148681691528</v>
          </cell>
          <cell r="I640">
            <v>2281.1162860671097</v>
          </cell>
          <cell r="J640">
            <v>2314.190254312427</v>
          </cell>
          <cell r="K640">
            <v>2272.3126957217864</v>
          </cell>
          <cell r="L640">
            <v>2185.1183892495878</v>
          </cell>
          <cell r="M640">
            <v>2006.0049262875641</v>
          </cell>
        </row>
        <row r="641">
          <cell r="F641">
            <v>27</v>
          </cell>
          <cell r="G641" t="str">
            <v>Sullivan</v>
          </cell>
          <cell r="H641">
            <v>4675.8349705304518</v>
          </cell>
          <cell r="I641">
            <v>5463.5270629991119</v>
          </cell>
          <cell r="J641">
            <v>5245.7243767313012</v>
          </cell>
          <cell r="K641">
            <v>5130.2406628090475</v>
          </cell>
          <cell r="L641">
            <v>5052.8998993963769</v>
          </cell>
          <cell r="M641">
            <v>4722.5501770956316</v>
          </cell>
        </row>
        <row r="642">
          <cell r="F642">
            <v>28</v>
          </cell>
          <cell r="G642" t="str">
            <v>Tompkins-Cortland</v>
          </cell>
          <cell r="H642">
            <v>2036.1090671730358</v>
          </cell>
          <cell r="I642">
            <v>2136.4425552295993</v>
          </cell>
          <cell r="J642">
            <v>2325.8379888268155</v>
          </cell>
          <cell r="K642">
            <v>2283.3485754484695</v>
          </cell>
          <cell r="L642">
            <v>2349.158373613875</v>
          </cell>
          <cell r="M642">
            <v>2130.0135162194633</v>
          </cell>
        </row>
        <row r="643">
          <cell r="F643">
            <v>29</v>
          </cell>
          <cell r="G643" t="str">
            <v>Ulster</v>
          </cell>
          <cell r="H643">
            <v>3035.3531233866802</v>
          </cell>
          <cell r="I643">
            <v>3331.0234505862645</v>
          </cell>
          <cell r="J643">
            <v>3421.7542160437556</v>
          </cell>
          <cell r="K643">
            <v>3250.8054127198916</v>
          </cell>
          <cell r="L643">
            <v>3156.2125628140702</v>
          </cell>
          <cell r="M643">
            <v>3075.5376554695913</v>
          </cell>
        </row>
        <row r="644">
          <cell r="F644">
            <v>30</v>
          </cell>
          <cell r="G644" t="str">
            <v>Westchester</v>
          </cell>
          <cell r="H644">
            <v>2005.1858238896316</v>
          </cell>
          <cell r="I644">
            <v>2227.6268238134116</v>
          </cell>
          <cell r="J644">
            <v>2337.5785720773911</v>
          </cell>
          <cell r="K644">
            <v>2217.6993792884823</v>
          </cell>
          <cell r="L644">
            <v>2255.8179322515807</v>
          </cell>
          <cell r="M644">
            <v>2126.673799921351</v>
          </cell>
        </row>
        <row r="646">
          <cell r="F646">
            <v>0</v>
          </cell>
          <cell r="G646" t="str">
            <v>Community Colleges</v>
          </cell>
          <cell r="H646">
            <v>2819</v>
          </cell>
          <cell r="I646">
            <v>2951</v>
          </cell>
          <cell r="J646">
            <v>3059</v>
          </cell>
          <cell r="K646">
            <v>3167</v>
          </cell>
          <cell r="L646">
            <v>3286.3999999999996</v>
          </cell>
          <cell r="M646">
            <v>3410.8666666666663</v>
          </cell>
        </row>
        <row r="647">
          <cell r="F647">
            <v>1</v>
          </cell>
          <cell r="G647" t="str">
            <v>Adirondack</v>
          </cell>
          <cell r="H647">
            <v>2730</v>
          </cell>
          <cell r="I647">
            <v>2870</v>
          </cell>
          <cell r="J647">
            <v>3000</v>
          </cell>
          <cell r="K647">
            <v>3130</v>
          </cell>
          <cell r="L647">
            <v>3130</v>
          </cell>
          <cell r="M647">
            <v>3256</v>
          </cell>
        </row>
        <row r="648">
          <cell r="F648">
            <v>2</v>
          </cell>
          <cell r="G648" t="str">
            <v>Broome</v>
          </cell>
          <cell r="H648">
            <v>2690</v>
          </cell>
          <cell r="I648">
            <v>2814</v>
          </cell>
          <cell r="J648">
            <v>2914</v>
          </cell>
          <cell r="K648">
            <v>3058</v>
          </cell>
          <cell r="L648">
            <v>3162</v>
          </cell>
          <cell r="M648">
            <v>3276</v>
          </cell>
        </row>
        <row r="649">
          <cell r="F649">
            <v>3</v>
          </cell>
          <cell r="G649" t="str">
            <v>Cayuga</v>
          </cell>
          <cell r="H649">
            <v>2900</v>
          </cell>
          <cell r="I649">
            <v>2900</v>
          </cell>
          <cell r="J649">
            <v>3100</v>
          </cell>
          <cell r="K649">
            <v>3254</v>
          </cell>
          <cell r="L649">
            <v>3390</v>
          </cell>
          <cell r="M649">
            <v>3560</v>
          </cell>
        </row>
        <row r="650">
          <cell r="F650">
            <v>4</v>
          </cell>
          <cell r="G650" t="str">
            <v>Clinton</v>
          </cell>
          <cell r="H650">
            <v>2940</v>
          </cell>
          <cell r="I650">
            <v>3020</v>
          </cell>
          <cell r="J650">
            <v>3120</v>
          </cell>
          <cell r="K650">
            <v>3220</v>
          </cell>
          <cell r="L650">
            <v>3400</v>
          </cell>
          <cell r="M650">
            <v>3540</v>
          </cell>
        </row>
        <row r="651">
          <cell r="F651">
            <v>5</v>
          </cell>
          <cell r="G651" t="str">
            <v>Columbia-Greene</v>
          </cell>
          <cell r="H651">
            <v>2688</v>
          </cell>
          <cell r="I651">
            <v>2832</v>
          </cell>
          <cell r="J651">
            <v>2976</v>
          </cell>
          <cell r="K651">
            <v>3072</v>
          </cell>
          <cell r="L651">
            <v>3216</v>
          </cell>
          <cell r="M651">
            <v>3312</v>
          </cell>
        </row>
        <row r="652">
          <cell r="F652">
            <v>6</v>
          </cell>
          <cell r="G652" t="str">
            <v>Corning</v>
          </cell>
          <cell r="H652">
            <v>3064</v>
          </cell>
          <cell r="I652">
            <v>3100</v>
          </cell>
          <cell r="J652">
            <v>3200</v>
          </cell>
          <cell r="K652">
            <v>3350</v>
          </cell>
          <cell r="L652">
            <v>3470</v>
          </cell>
          <cell r="M652">
            <v>3570</v>
          </cell>
        </row>
        <row r="653">
          <cell r="F653">
            <v>7</v>
          </cell>
          <cell r="G653" t="str">
            <v>Dutchess</v>
          </cell>
          <cell r="H653">
            <v>2500</v>
          </cell>
          <cell r="I653">
            <v>2600</v>
          </cell>
          <cell r="J653">
            <v>2700</v>
          </cell>
          <cell r="K653">
            <v>2800</v>
          </cell>
          <cell r="L653">
            <v>2875</v>
          </cell>
          <cell r="M653">
            <v>2900</v>
          </cell>
        </row>
        <row r="654">
          <cell r="F654">
            <v>8</v>
          </cell>
          <cell r="G654" t="str">
            <v>Erie</v>
          </cell>
          <cell r="H654">
            <v>2900</v>
          </cell>
          <cell r="I654">
            <v>2900</v>
          </cell>
          <cell r="J654">
            <v>2987</v>
          </cell>
          <cell r="K654">
            <v>2987</v>
          </cell>
          <cell r="L654">
            <v>3187</v>
          </cell>
          <cell r="M654">
            <v>3300</v>
          </cell>
        </row>
        <row r="655">
          <cell r="F655">
            <v>9</v>
          </cell>
          <cell r="G655" t="str">
            <v>Fashion Institute</v>
          </cell>
          <cell r="H655">
            <v>2900</v>
          </cell>
          <cell r="I655">
            <v>3074</v>
          </cell>
          <cell r="J655">
            <v>3151</v>
          </cell>
          <cell r="K655">
            <v>3292</v>
          </cell>
          <cell r="L655">
            <v>3414</v>
          </cell>
          <cell r="M655">
            <v>3714</v>
          </cell>
        </row>
        <row r="656">
          <cell r="F656">
            <v>10</v>
          </cell>
          <cell r="G656" t="str">
            <v>Finger Lakes</v>
          </cell>
          <cell r="H656">
            <v>2750</v>
          </cell>
          <cell r="I656">
            <v>2900</v>
          </cell>
          <cell r="J656">
            <v>3050</v>
          </cell>
          <cell r="K656">
            <v>3130</v>
          </cell>
          <cell r="L656">
            <v>3246</v>
          </cell>
          <cell r="M656">
            <v>3296</v>
          </cell>
        </row>
        <row r="657">
          <cell r="F657">
            <v>11</v>
          </cell>
          <cell r="G657" t="str">
            <v>Fulton-Montgomery</v>
          </cell>
          <cell r="H657">
            <v>2800</v>
          </cell>
          <cell r="I657">
            <v>2925</v>
          </cell>
          <cell r="J657">
            <v>2975</v>
          </cell>
          <cell r="K657">
            <v>3094</v>
          </cell>
          <cell r="L657">
            <v>3144</v>
          </cell>
          <cell r="M657">
            <v>3194</v>
          </cell>
        </row>
        <row r="658">
          <cell r="F658">
            <v>12</v>
          </cell>
          <cell r="G658" t="str">
            <v>Genesee</v>
          </cell>
          <cell r="H658">
            <v>2900</v>
          </cell>
          <cell r="I658">
            <v>3100</v>
          </cell>
          <cell r="J658">
            <v>3200</v>
          </cell>
          <cell r="K658">
            <v>3300</v>
          </cell>
          <cell r="L658">
            <v>3400</v>
          </cell>
          <cell r="M658">
            <v>3400</v>
          </cell>
        </row>
        <row r="659">
          <cell r="F659">
            <v>13</v>
          </cell>
          <cell r="G659" t="str">
            <v>Herkimer</v>
          </cell>
          <cell r="H659">
            <v>2700</v>
          </cell>
          <cell r="I659">
            <v>2800</v>
          </cell>
          <cell r="J659">
            <v>2900</v>
          </cell>
          <cell r="K659">
            <v>3020</v>
          </cell>
          <cell r="L659">
            <v>3130</v>
          </cell>
          <cell r="M659">
            <v>3240</v>
          </cell>
        </row>
        <row r="660">
          <cell r="F660">
            <v>14</v>
          </cell>
          <cell r="G660" t="str">
            <v>Hudson Valley</v>
          </cell>
          <cell r="H660">
            <v>2600</v>
          </cell>
          <cell r="I660">
            <v>2700</v>
          </cell>
          <cell r="J660">
            <v>2700</v>
          </cell>
          <cell r="K660">
            <v>2800</v>
          </cell>
          <cell r="L660">
            <v>2900</v>
          </cell>
          <cell r="M660">
            <v>3100</v>
          </cell>
        </row>
        <row r="661">
          <cell r="F661">
            <v>15</v>
          </cell>
          <cell r="G661" t="str">
            <v>Jamestown</v>
          </cell>
          <cell r="H661">
            <v>2950</v>
          </cell>
          <cell r="I661">
            <v>3150</v>
          </cell>
          <cell r="J661">
            <v>3250</v>
          </cell>
          <cell r="K661">
            <v>3350</v>
          </cell>
          <cell r="L661">
            <v>3500</v>
          </cell>
          <cell r="M661">
            <v>3640</v>
          </cell>
        </row>
        <row r="662">
          <cell r="F662">
            <v>16</v>
          </cell>
          <cell r="G662" t="str">
            <v>Jefferson</v>
          </cell>
          <cell r="H662">
            <v>2722</v>
          </cell>
          <cell r="I662">
            <v>2928</v>
          </cell>
          <cell r="J662">
            <v>2928</v>
          </cell>
          <cell r="K662">
            <v>3074</v>
          </cell>
          <cell r="L662">
            <v>3188</v>
          </cell>
          <cell r="M662">
            <v>3312</v>
          </cell>
        </row>
        <row r="663">
          <cell r="F663">
            <v>17</v>
          </cell>
          <cell r="G663" t="str">
            <v>Mohawk Valley</v>
          </cell>
          <cell r="H663">
            <v>2850</v>
          </cell>
          <cell r="I663">
            <v>2950</v>
          </cell>
          <cell r="J663">
            <v>3100</v>
          </cell>
          <cell r="K663">
            <v>3150</v>
          </cell>
          <cell r="L663">
            <v>3250</v>
          </cell>
          <cell r="M663">
            <v>3350</v>
          </cell>
        </row>
        <row r="664">
          <cell r="F664">
            <v>18</v>
          </cell>
          <cell r="G664" t="str">
            <v>Monroe</v>
          </cell>
          <cell r="H664">
            <v>2600</v>
          </cell>
          <cell r="I664">
            <v>2600</v>
          </cell>
          <cell r="J664">
            <v>2700</v>
          </cell>
          <cell r="K664">
            <v>2800</v>
          </cell>
          <cell r="L664">
            <v>2900</v>
          </cell>
          <cell r="M664">
            <v>2900</v>
          </cell>
        </row>
        <row r="665">
          <cell r="F665">
            <v>19</v>
          </cell>
          <cell r="G665" t="str">
            <v>Nassau</v>
          </cell>
          <cell r="H665">
            <v>2900</v>
          </cell>
          <cell r="I665">
            <v>3140</v>
          </cell>
          <cell r="J665">
            <v>3310</v>
          </cell>
          <cell r="K665">
            <v>3434</v>
          </cell>
          <cell r="L665">
            <v>3552</v>
          </cell>
          <cell r="M665">
            <v>3622</v>
          </cell>
        </row>
        <row r="666">
          <cell r="F666">
            <v>20</v>
          </cell>
          <cell r="G666" t="str">
            <v>Niagara</v>
          </cell>
          <cell r="H666">
            <v>2976</v>
          </cell>
          <cell r="I666">
            <v>3096</v>
          </cell>
          <cell r="J666">
            <v>3168</v>
          </cell>
          <cell r="K666">
            <v>3192</v>
          </cell>
          <cell r="L666">
            <v>3312</v>
          </cell>
          <cell r="M666">
            <v>3408</v>
          </cell>
        </row>
        <row r="667">
          <cell r="F667">
            <v>21</v>
          </cell>
          <cell r="G667" t="str">
            <v>North Country</v>
          </cell>
          <cell r="H667">
            <v>2850</v>
          </cell>
          <cell r="I667">
            <v>3050</v>
          </cell>
          <cell r="J667">
            <v>3250</v>
          </cell>
          <cell r="K667">
            <v>3340</v>
          </cell>
          <cell r="L667">
            <v>3490</v>
          </cell>
          <cell r="M667">
            <v>3660</v>
          </cell>
        </row>
        <row r="668">
          <cell r="F668">
            <v>22</v>
          </cell>
          <cell r="G668" t="str">
            <v>Onondaga</v>
          </cell>
          <cell r="H668">
            <v>3090</v>
          </cell>
          <cell r="I668">
            <v>3180</v>
          </cell>
          <cell r="J668">
            <v>3210</v>
          </cell>
          <cell r="K668">
            <v>3280</v>
          </cell>
          <cell r="L668">
            <v>3392</v>
          </cell>
          <cell r="M668">
            <v>3571</v>
          </cell>
        </row>
        <row r="669">
          <cell r="F669">
            <v>23</v>
          </cell>
          <cell r="G669" t="str">
            <v>Orange</v>
          </cell>
          <cell r="H669">
            <v>2700</v>
          </cell>
          <cell r="I669">
            <v>2900</v>
          </cell>
          <cell r="J669">
            <v>3000</v>
          </cell>
          <cell r="K669">
            <v>3100</v>
          </cell>
          <cell r="L669">
            <v>3300</v>
          </cell>
          <cell r="M669">
            <v>3500</v>
          </cell>
        </row>
        <row r="670">
          <cell r="F670">
            <v>24</v>
          </cell>
          <cell r="G670" t="str">
            <v>Rockland</v>
          </cell>
          <cell r="H670">
            <v>2600</v>
          </cell>
          <cell r="I670">
            <v>2800</v>
          </cell>
          <cell r="J670">
            <v>3000</v>
          </cell>
          <cell r="K670">
            <v>3200</v>
          </cell>
          <cell r="L670">
            <v>3300</v>
          </cell>
          <cell r="M670">
            <v>3425</v>
          </cell>
        </row>
        <row r="671">
          <cell r="F671">
            <v>25</v>
          </cell>
          <cell r="G671" t="str">
            <v>Schenectady</v>
          </cell>
          <cell r="H671">
            <v>2590</v>
          </cell>
          <cell r="I671">
            <v>2750</v>
          </cell>
          <cell r="J671">
            <v>2820</v>
          </cell>
          <cell r="K671">
            <v>2890</v>
          </cell>
          <cell r="L671">
            <v>3030</v>
          </cell>
          <cell r="M671">
            <v>3150</v>
          </cell>
        </row>
        <row r="672">
          <cell r="F672">
            <v>26</v>
          </cell>
          <cell r="G672" t="str">
            <v>Suffolk</v>
          </cell>
          <cell r="H672">
            <v>2890</v>
          </cell>
          <cell r="I672">
            <v>2990</v>
          </cell>
          <cell r="J672">
            <v>3100</v>
          </cell>
          <cell r="K672">
            <v>3256</v>
          </cell>
          <cell r="L672">
            <v>3376</v>
          </cell>
          <cell r="M672">
            <v>3576</v>
          </cell>
        </row>
        <row r="673">
          <cell r="F673">
            <v>27</v>
          </cell>
          <cell r="G673" t="str">
            <v>Sullivan</v>
          </cell>
          <cell r="H673">
            <v>2900</v>
          </cell>
          <cell r="I673">
            <v>3000</v>
          </cell>
          <cell r="J673">
            <v>3200</v>
          </cell>
          <cell r="K673">
            <v>3360</v>
          </cell>
          <cell r="L673">
            <v>3528</v>
          </cell>
          <cell r="M673">
            <v>3704</v>
          </cell>
        </row>
        <row r="674">
          <cell r="F674">
            <v>28</v>
          </cell>
          <cell r="G674" t="str">
            <v>Tompkins-Cortland</v>
          </cell>
          <cell r="H674">
            <v>2950</v>
          </cell>
          <cell r="I674">
            <v>3100</v>
          </cell>
          <cell r="J674">
            <v>3200</v>
          </cell>
          <cell r="K674">
            <v>3325</v>
          </cell>
          <cell r="L674">
            <v>3440</v>
          </cell>
          <cell r="M674">
            <v>3580</v>
          </cell>
        </row>
        <row r="675">
          <cell r="F675">
            <v>29</v>
          </cell>
          <cell r="G675" t="str">
            <v>Ulster</v>
          </cell>
          <cell r="H675">
            <v>3000</v>
          </cell>
          <cell r="I675">
            <v>3200</v>
          </cell>
          <cell r="J675">
            <v>3200</v>
          </cell>
          <cell r="K675">
            <v>3300</v>
          </cell>
          <cell r="L675">
            <v>3420</v>
          </cell>
          <cell r="M675">
            <v>3620</v>
          </cell>
        </row>
        <row r="676">
          <cell r="F676">
            <v>30</v>
          </cell>
          <cell r="G676" t="str">
            <v>Westchester</v>
          </cell>
          <cell r="H676">
            <v>2950</v>
          </cell>
          <cell r="I676">
            <v>3150</v>
          </cell>
          <cell r="J676">
            <v>3350</v>
          </cell>
          <cell r="K676">
            <v>3450</v>
          </cell>
          <cell r="L676">
            <v>3550</v>
          </cell>
          <cell r="M676">
            <v>3650</v>
          </cell>
        </row>
        <row r="678">
          <cell r="F678">
            <v>0</v>
          </cell>
          <cell r="G678" t="str">
            <v>Community Colleges</v>
          </cell>
          <cell r="H678">
            <v>7552.6145771920746</v>
          </cell>
          <cell r="I678">
            <v>7947.9519177513148</v>
          </cell>
          <cell r="J678">
            <v>8371.3783857430244</v>
          </cell>
          <cell r="K678">
            <v>8504.2256798910439</v>
          </cell>
          <cell r="L678">
            <v>8506.2933659148312</v>
          </cell>
          <cell r="M678">
            <v>8244.9024594603288</v>
          </cell>
        </row>
        <row r="679">
          <cell r="F679">
            <v>1</v>
          </cell>
          <cell r="G679" t="str">
            <v>Adirondack</v>
          </cell>
          <cell r="H679">
            <v>6875.8996347467046</v>
          </cell>
          <cell r="I679">
            <v>7603.2985257985256</v>
          </cell>
          <cell r="J679">
            <v>7676.5556849672676</v>
          </cell>
          <cell r="K679">
            <v>8307.2310973569747</v>
          </cell>
          <cell r="L679">
            <v>8476.8853042343708</v>
          </cell>
          <cell r="M679">
            <v>7855.3618064064412</v>
          </cell>
        </row>
        <row r="680">
          <cell r="F680">
            <v>2</v>
          </cell>
          <cell r="G680" t="str">
            <v>Broome</v>
          </cell>
          <cell r="H680">
            <v>7146.6062530139843</v>
          </cell>
          <cell r="I680">
            <v>7282.657509579346</v>
          </cell>
          <cell r="J680">
            <v>7626.8954044499887</v>
          </cell>
          <cell r="K680">
            <v>7976.6653921233219</v>
          </cell>
          <cell r="L680">
            <v>7646.9626405371628</v>
          </cell>
          <cell r="M680">
            <v>7829.6428048869702</v>
          </cell>
        </row>
        <row r="681">
          <cell r="F681">
            <v>3</v>
          </cell>
          <cell r="G681" t="str">
            <v>Cayuga</v>
          </cell>
          <cell r="H681">
            <v>6980.0093802112278</v>
          </cell>
          <cell r="I681">
            <v>7651.9721577726214</v>
          </cell>
          <cell r="J681">
            <v>8295.0837406555474</v>
          </cell>
          <cell r="K681">
            <v>8418.8192435070578</v>
          </cell>
          <cell r="L681">
            <v>8795.8170068724958</v>
          </cell>
          <cell r="M681">
            <v>7910.5692818956795</v>
          </cell>
        </row>
        <row r="682">
          <cell r="F682">
            <v>4</v>
          </cell>
          <cell r="G682" t="str">
            <v>Clinton</v>
          </cell>
          <cell r="H682">
            <v>6966.1030206271153</v>
          </cell>
          <cell r="I682">
            <v>7416.5444053856863</v>
          </cell>
          <cell r="J682">
            <v>8025.850844077213</v>
          </cell>
          <cell r="K682">
            <v>8499.3713620488925</v>
          </cell>
          <cell r="L682">
            <v>8467.3380022637211</v>
          </cell>
          <cell r="M682">
            <v>8484.2576109391121</v>
          </cell>
        </row>
        <row r="683">
          <cell r="F683">
            <v>5</v>
          </cell>
          <cell r="G683" t="str">
            <v>Columbia-Greene</v>
          </cell>
          <cell r="H683">
            <v>9441.4929827391497</v>
          </cell>
          <cell r="I683">
            <v>9566.9071503089635</v>
          </cell>
          <cell r="J683">
            <v>9546.41920719882</v>
          </cell>
          <cell r="K683">
            <v>10050.320900666309</v>
          </cell>
          <cell r="L683">
            <v>9477.9492833517088</v>
          </cell>
          <cell r="M683">
            <v>9210.4390051840655</v>
          </cell>
        </row>
        <row r="684">
          <cell r="F684">
            <v>6</v>
          </cell>
          <cell r="G684" t="str">
            <v>Corning</v>
          </cell>
          <cell r="H684">
            <v>6883.0023213825116</v>
          </cell>
          <cell r="I684">
            <v>7144.1290174997139</v>
          </cell>
          <cell r="J684">
            <v>8254.3241598052082</v>
          </cell>
          <cell r="K684">
            <v>8453.7729957023148</v>
          </cell>
          <cell r="L684">
            <v>8096.0535018306346</v>
          </cell>
          <cell r="M684">
            <v>7766.2037491144893</v>
          </cell>
        </row>
        <row r="685">
          <cell r="F685">
            <v>7</v>
          </cell>
          <cell r="G685" t="str">
            <v>Dutchess</v>
          </cell>
          <cell r="H685">
            <v>6836.9898883320147</v>
          </cell>
          <cell r="I685">
            <v>6830.0820445924373</v>
          </cell>
          <cell r="J685">
            <v>7533.4509722868115</v>
          </cell>
          <cell r="K685">
            <v>7605.2813729593972</v>
          </cell>
          <cell r="L685">
            <v>7401.57533080554</v>
          </cell>
          <cell r="M685">
            <v>6902.9813630872386</v>
          </cell>
        </row>
        <row r="686">
          <cell r="F686">
            <v>8</v>
          </cell>
          <cell r="G686" t="str">
            <v>Erie</v>
          </cell>
          <cell r="H686">
            <v>6493.2287109529107</v>
          </cell>
          <cell r="I686">
            <v>6630.9770236273107</v>
          </cell>
          <cell r="J686">
            <v>6999.8372793875669</v>
          </cell>
          <cell r="K686">
            <v>6956.8259354817501</v>
          </cell>
          <cell r="L686">
            <v>6800.829013911426</v>
          </cell>
          <cell r="M686">
            <v>6747.6883000559801</v>
          </cell>
        </row>
        <row r="687">
          <cell r="F687">
            <v>9</v>
          </cell>
          <cell r="G687" t="str">
            <v>Fashion Institute</v>
          </cell>
          <cell r="H687">
            <v>13021.851983816836</v>
          </cell>
          <cell r="I687">
            <v>13410.933589111171</v>
          </cell>
          <cell r="J687">
            <v>14570.401615280178</v>
          </cell>
          <cell r="K687">
            <v>15435.581330708204</v>
          </cell>
          <cell r="L687">
            <v>16244.198054461607</v>
          </cell>
          <cell r="M687">
            <v>16611.913653298267</v>
          </cell>
        </row>
        <row r="688">
          <cell r="F688">
            <v>10</v>
          </cell>
          <cell r="G688" t="str">
            <v>Finger Lakes</v>
          </cell>
          <cell r="H688">
            <v>7238.4572645881908</v>
          </cell>
          <cell r="I688">
            <v>7425.6290285451196</v>
          </cell>
          <cell r="J688">
            <v>7556.3785336186502</v>
          </cell>
          <cell r="K688">
            <v>7523.6822823290977</v>
          </cell>
          <cell r="L688">
            <v>7348.9929537501166</v>
          </cell>
          <cell r="M688">
            <v>7139.28631961259</v>
          </cell>
        </row>
        <row r="689">
          <cell r="F689">
            <v>11</v>
          </cell>
          <cell r="G689" t="str">
            <v>Fulton-Montgomery</v>
          </cell>
          <cell r="H689">
            <v>7353.2063939821337</v>
          </cell>
          <cell r="I689">
            <v>7533.9976324356312</v>
          </cell>
          <cell r="J689">
            <v>7562.3538020254045</v>
          </cell>
          <cell r="K689">
            <v>7978.4809268154841</v>
          </cell>
          <cell r="L689">
            <v>7424.1666666666661</v>
          </cell>
          <cell r="M689">
            <v>7104.7796732232073</v>
          </cell>
        </row>
        <row r="690">
          <cell r="F690">
            <v>12</v>
          </cell>
          <cell r="G690" t="str">
            <v>Genesee</v>
          </cell>
          <cell r="H690">
            <v>6019.6957316144744</v>
          </cell>
          <cell r="I690">
            <v>6267.6225810427704</v>
          </cell>
          <cell r="J690">
            <v>6741.2833324835565</v>
          </cell>
          <cell r="K690">
            <v>7123.1800308595884</v>
          </cell>
          <cell r="L690">
            <v>7017.9456746106198</v>
          </cell>
          <cell r="M690">
            <v>7221.2453998354758</v>
          </cell>
        </row>
        <row r="691">
          <cell r="F691">
            <v>13</v>
          </cell>
          <cell r="G691" t="str">
            <v>Herkimer</v>
          </cell>
          <cell r="H691">
            <v>6339.9795774647882</v>
          </cell>
          <cell r="I691">
            <v>6887.6093098820365</v>
          </cell>
          <cell r="J691">
            <v>7249.9230228340912</v>
          </cell>
          <cell r="K691">
            <v>7615.0466764143512</v>
          </cell>
          <cell r="L691">
            <v>6909.7853943119053</v>
          </cell>
          <cell r="M691">
            <v>6625.1164900683707</v>
          </cell>
        </row>
        <row r="692">
          <cell r="F692">
            <v>14</v>
          </cell>
          <cell r="G692" t="str">
            <v>Hudson Valley</v>
          </cell>
          <cell r="H692">
            <v>6535.7249408996686</v>
          </cell>
          <cell r="I692">
            <v>7075.4464154981133</v>
          </cell>
          <cell r="J692">
            <v>7641.9967315069107</v>
          </cell>
          <cell r="K692">
            <v>7854.7236367733212</v>
          </cell>
          <cell r="L692">
            <v>8337.5199309563613</v>
          </cell>
          <cell r="M692">
            <v>8139.2953752181493</v>
          </cell>
        </row>
        <row r="693">
          <cell r="F693">
            <v>15</v>
          </cell>
          <cell r="G693" t="str">
            <v>Jamestown</v>
          </cell>
          <cell r="H693">
            <v>7297.440392257402</v>
          </cell>
          <cell r="I693">
            <v>7490.3108133849764</v>
          </cell>
          <cell r="J693">
            <v>7762.7750446526488</v>
          </cell>
          <cell r="K693">
            <v>8074.5456904661496</v>
          </cell>
          <cell r="L693">
            <v>7953.0520684519279</v>
          </cell>
          <cell r="M693">
            <v>6914.5122292636988</v>
          </cell>
        </row>
        <row r="694">
          <cell r="F694">
            <v>16</v>
          </cell>
          <cell r="G694" t="str">
            <v>Jefferson</v>
          </cell>
          <cell r="H694">
            <v>6727.9740628166155</v>
          </cell>
          <cell r="I694">
            <v>7502.9062595686974</v>
          </cell>
          <cell r="J694">
            <v>7865.2096469830158</v>
          </cell>
          <cell r="K694">
            <v>8572.9209183673465</v>
          </cell>
          <cell r="L694">
            <v>8486.5534834623486</v>
          </cell>
          <cell r="M694">
            <v>7845.6731410633702</v>
          </cell>
        </row>
        <row r="695">
          <cell r="F695">
            <v>17</v>
          </cell>
          <cell r="G695" t="str">
            <v>Mohawk Valley</v>
          </cell>
          <cell r="H695">
            <v>6873.7835760251246</v>
          </cell>
          <cell r="I695">
            <v>7038.294663832643</v>
          </cell>
          <cell r="J695">
            <v>7401.2656700408925</v>
          </cell>
          <cell r="K695">
            <v>7761.8591796446581</v>
          </cell>
          <cell r="L695">
            <v>7762.414853604304</v>
          </cell>
          <cell r="M695">
            <v>7349.0714510544531</v>
          </cell>
        </row>
        <row r="696">
          <cell r="F696">
            <v>18</v>
          </cell>
          <cell r="G696" t="str">
            <v>Monroe</v>
          </cell>
          <cell r="H696">
            <v>6177.6819763841731</v>
          </cell>
          <cell r="I696">
            <v>6450.4944886383901</v>
          </cell>
          <cell r="J696">
            <v>6941.1993093710444</v>
          </cell>
          <cell r="K696">
            <v>6710.138642467934</v>
          </cell>
          <cell r="L696">
            <v>6581.3952719894778</v>
          </cell>
          <cell r="M696">
            <v>6527.1610766759195</v>
          </cell>
        </row>
        <row r="697">
          <cell r="F697">
            <v>19</v>
          </cell>
          <cell r="G697" t="str">
            <v>Nassau</v>
          </cell>
          <cell r="H697">
            <v>8419.8816373379741</v>
          </cell>
          <cell r="I697">
            <v>9133.8543249064714</v>
          </cell>
          <cell r="J697">
            <v>9417.6871371998859</v>
          </cell>
          <cell r="K697">
            <v>9553.4809617813844</v>
          </cell>
          <cell r="L697">
            <v>9990.4343130657508</v>
          </cell>
          <cell r="M697">
            <v>9940.7135490258752</v>
          </cell>
        </row>
        <row r="698">
          <cell r="F698">
            <v>20</v>
          </cell>
          <cell r="G698" t="str">
            <v>Niagara</v>
          </cell>
          <cell r="H698">
            <v>7629.56223865435</v>
          </cell>
          <cell r="I698">
            <v>8002.283763811668</v>
          </cell>
          <cell r="J698">
            <v>8149.3507541860781</v>
          </cell>
          <cell r="K698">
            <v>8312.5803558080424</v>
          </cell>
          <cell r="L698">
            <v>8424.4765270065618</v>
          </cell>
          <cell r="M698">
            <v>7722.4929517147848</v>
          </cell>
        </row>
        <row r="699">
          <cell r="F699">
            <v>21</v>
          </cell>
          <cell r="G699" t="str">
            <v>North Country</v>
          </cell>
          <cell r="H699">
            <v>8373.1956624233844</v>
          </cell>
          <cell r="I699">
            <v>9124.8403284671531</v>
          </cell>
          <cell r="J699">
            <v>9917.1263206247113</v>
          </cell>
          <cell r="K699">
            <v>10407.494132514894</v>
          </cell>
          <cell r="L699">
            <v>9008.8386149727958</v>
          </cell>
          <cell r="M699">
            <v>8096.2164379474934</v>
          </cell>
        </row>
        <row r="700">
          <cell r="F700">
            <v>22</v>
          </cell>
          <cell r="G700" t="str">
            <v>Onondaga</v>
          </cell>
          <cell r="H700">
            <v>7087.6868009649415</v>
          </cell>
          <cell r="I700">
            <v>7052.499421822723</v>
          </cell>
          <cell r="J700">
            <v>7143.8277123120679</v>
          </cell>
          <cell r="K700">
            <v>7134.2115855102202</v>
          </cell>
          <cell r="L700">
            <v>7224.8081949665175</v>
          </cell>
          <cell r="M700">
            <v>7042.302861848877</v>
          </cell>
        </row>
        <row r="701">
          <cell r="F701">
            <v>23</v>
          </cell>
          <cell r="G701" t="str">
            <v>Orange</v>
          </cell>
          <cell r="H701">
            <v>8658.0470588235294</v>
          </cell>
          <cell r="I701">
            <v>9445.9597280945582</v>
          </cell>
          <cell r="J701">
            <v>10095.435378064218</v>
          </cell>
          <cell r="K701">
            <v>10308.240423686251</v>
          </cell>
          <cell r="L701">
            <v>9589.0953482395253</v>
          </cell>
          <cell r="M701">
            <v>9506.2048360753688</v>
          </cell>
        </row>
        <row r="702">
          <cell r="F702">
            <v>24</v>
          </cell>
          <cell r="G702" t="str">
            <v>Rockland</v>
          </cell>
          <cell r="H702">
            <v>8539.9824496200854</v>
          </cell>
          <cell r="I702">
            <v>9052.2240259740247</v>
          </cell>
          <cell r="J702">
            <v>9028.4413976780379</v>
          </cell>
          <cell r="K702">
            <v>9110.0834094041402</v>
          </cell>
          <cell r="L702">
            <v>8922.1242736397235</v>
          </cell>
          <cell r="M702">
            <v>8398.0724197092368</v>
          </cell>
        </row>
        <row r="703">
          <cell r="F703">
            <v>25</v>
          </cell>
          <cell r="G703" t="str">
            <v>Schenectady</v>
          </cell>
          <cell r="H703">
            <v>6179.0676618978505</v>
          </cell>
          <cell r="I703">
            <v>6364.9716805155158</v>
          </cell>
          <cell r="J703">
            <v>6723.056671747263</v>
          </cell>
          <cell r="K703">
            <v>6923.7979046043556</v>
          </cell>
          <cell r="L703">
            <v>6787.5698503436297</v>
          </cell>
          <cell r="M703">
            <v>5927.20613680932</v>
          </cell>
        </row>
        <row r="704">
          <cell r="F704">
            <v>26</v>
          </cell>
          <cell r="G704" t="str">
            <v>Suffolk</v>
          </cell>
          <cell r="H704">
            <v>7777.4397673689446</v>
          </cell>
          <cell r="I704">
            <v>8010.1524924544829</v>
          </cell>
          <cell r="J704">
            <v>8342.3261016627293</v>
          </cell>
          <cell r="K704">
            <v>8542.1924915538584</v>
          </cell>
          <cell r="L704">
            <v>8365.2090019720799</v>
          </cell>
          <cell r="M704">
            <v>8053.6442539430727</v>
          </cell>
        </row>
        <row r="705">
          <cell r="F705">
            <v>27</v>
          </cell>
          <cell r="G705" t="str">
            <v>Sullivan</v>
          </cell>
          <cell r="H705">
            <v>9332.4751356238685</v>
          </cell>
          <cell r="I705">
            <v>9880.0619170151167</v>
          </cell>
          <cell r="J705">
            <v>10657.821078431372</v>
          </cell>
          <cell r="K705">
            <v>11596.172224567326</v>
          </cell>
          <cell r="L705">
            <v>10590.127600340264</v>
          </cell>
          <cell r="M705">
            <v>10816.998810232004</v>
          </cell>
        </row>
        <row r="706">
          <cell r="F706">
            <v>28</v>
          </cell>
          <cell r="G706" t="str">
            <v>Tompkins-Cortland</v>
          </cell>
          <cell r="H706">
            <v>7195.45025250869</v>
          </cell>
          <cell r="I706">
            <v>7931.7489711934149</v>
          </cell>
          <cell r="J706">
            <v>8469.5214650820017</v>
          </cell>
          <cell r="K706">
            <v>8451.0778234919162</v>
          </cell>
          <cell r="L706">
            <v>8711.0477555972193</v>
          </cell>
          <cell r="M706">
            <v>8541.1203246294972</v>
          </cell>
        </row>
        <row r="707">
          <cell r="F707">
            <v>29</v>
          </cell>
          <cell r="G707" t="str">
            <v>Ulster</v>
          </cell>
          <cell r="H707">
            <v>8180.3406767057068</v>
          </cell>
          <cell r="I707">
            <v>9274.2790112707389</v>
          </cell>
          <cell r="J707">
            <v>9426.1853639318415</v>
          </cell>
          <cell r="K707">
            <v>9518.4631370141215</v>
          </cell>
          <cell r="L707">
            <v>9414.4862255292737</v>
          </cell>
          <cell r="M707">
            <v>9331.5962319592072</v>
          </cell>
        </row>
        <row r="708">
          <cell r="F708">
            <v>30</v>
          </cell>
          <cell r="G708" t="str">
            <v>Westchester</v>
          </cell>
          <cell r="H708">
            <v>7000.7138122820661</v>
          </cell>
          <cell r="I708">
            <v>7734.2412428607622</v>
          </cell>
          <cell r="J708">
            <v>8087.6895695442399</v>
          </cell>
          <cell r="K708">
            <v>7772.5161026827873</v>
          </cell>
          <cell r="L708">
            <v>8113.7286307190607</v>
          </cell>
          <cell r="M708">
            <v>7788.1859852988455</v>
          </cell>
        </row>
        <row r="710">
          <cell r="F710">
            <v>0</v>
          </cell>
          <cell r="G710" t="str">
            <v>Community Colleges</v>
          </cell>
          <cell r="H710">
            <v>0.81721225706852185</v>
          </cell>
          <cell r="I710">
            <v>0.81611800036326709</v>
          </cell>
          <cell r="J710">
            <v>0.81532775745141706</v>
          </cell>
          <cell r="K710">
            <v>0.80634211442861636</v>
          </cell>
          <cell r="L710">
            <v>0.81186986529185512</v>
          </cell>
          <cell r="M710">
            <v>0.81038133278690183</v>
          </cell>
        </row>
        <row r="711">
          <cell r="F711">
            <v>1</v>
          </cell>
          <cell r="G711" t="str">
            <v>Adirondack</v>
          </cell>
          <cell r="H711">
            <v>0.80787307181473478</v>
          </cell>
          <cell r="I711">
            <v>0.80421443506848345</v>
          </cell>
          <cell r="J711">
            <v>0.79933325871359628</v>
          </cell>
          <cell r="K711">
            <v>0.77391227970935506</v>
          </cell>
          <cell r="L711">
            <v>0.75939272332351115</v>
          </cell>
          <cell r="M711">
            <v>0.77484584165581516</v>
          </cell>
        </row>
        <row r="712">
          <cell r="F712">
            <v>2</v>
          </cell>
          <cell r="G712" t="str">
            <v>Broome</v>
          </cell>
          <cell r="H712">
            <v>0.82235995156246644</v>
          </cell>
          <cell r="I712">
            <v>0.81625735280674105</v>
          </cell>
          <cell r="J712">
            <v>0.83343122742507381</v>
          </cell>
          <cell r="K712">
            <v>0.81140500590384779</v>
          </cell>
          <cell r="L712">
            <v>0.82951955890460005</v>
          </cell>
          <cell r="M712">
            <v>0.83597249123110662</v>
          </cell>
        </row>
        <row r="713">
          <cell r="F713">
            <v>3</v>
          </cell>
          <cell r="G713" t="str">
            <v>Cayuga</v>
          </cell>
          <cell r="H713">
            <v>0.79860733811993001</v>
          </cell>
          <cell r="I713">
            <v>0.79559515818475479</v>
          </cell>
          <cell r="J713">
            <v>0.79540919034009461</v>
          </cell>
          <cell r="K713">
            <v>0.78734175197038392</v>
          </cell>
          <cell r="L713">
            <v>0.79702603053940657</v>
          </cell>
          <cell r="M713">
            <v>0.78046554281002334</v>
          </cell>
        </row>
        <row r="714">
          <cell r="F714">
            <v>4</v>
          </cell>
          <cell r="G714" t="str">
            <v>Clinton</v>
          </cell>
          <cell r="H714">
            <v>0.83247375506739762</v>
          </cell>
          <cell r="I714">
            <v>0.83997357305167797</v>
          </cell>
          <cell r="J714">
            <v>0.8343777316198584</v>
          </cell>
          <cell r="K714">
            <v>0.83879331379176847</v>
          </cell>
          <cell r="L714">
            <v>0.85230307597405797</v>
          </cell>
          <cell r="M714">
            <v>0.83930200644581587</v>
          </cell>
        </row>
        <row r="715">
          <cell r="F715">
            <v>5</v>
          </cell>
          <cell r="G715" t="str">
            <v>Columbia-Greene</v>
          </cell>
          <cell r="H715">
            <v>0.77957378820813028</v>
          </cell>
          <cell r="I715">
            <v>0.79062805911941458</v>
          </cell>
          <cell r="J715">
            <v>0.76741826240274291</v>
          </cell>
          <cell r="K715">
            <v>0.76948289549180493</v>
          </cell>
          <cell r="L715">
            <v>0.78351922771249805</v>
          </cell>
          <cell r="M715">
            <v>0.79822819122439037</v>
          </cell>
        </row>
        <row r="716">
          <cell r="F716">
            <v>6</v>
          </cell>
          <cell r="G716" t="str">
            <v>Corning</v>
          </cell>
          <cell r="H716">
            <v>0.82927820750947212</v>
          </cell>
          <cell r="I716">
            <v>0.83279807258824612</v>
          </cell>
          <cell r="J716">
            <v>0.83643669957946021</v>
          </cell>
          <cell r="K716">
            <v>0.8513520182108486</v>
          </cell>
          <cell r="L716">
            <v>0.76443183539762039</v>
          </cell>
          <cell r="M716">
            <v>0.77319732596481228</v>
          </cell>
        </row>
        <row r="717">
          <cell r="F717">
            <v>7</v>
          </cell>
          <cell r="G717" t="str">
            <v>Dutchess</v>
          </cell>
          <cell r="H717">
            <v>0.79918894474373781</v>
          </cell>
          <cell r="I717">
            <v>0.81532783113115415</v>
          </cell>
          <cell r="J717">
            <v>0.80052255305897246</v>
          </cell>
          <cell r="K717">
            <v>0.79562703271095137</v>
          </cell>
          <cell r="L717">
            <v>0.79035567274614049</v>
          </cell>
          <cell r="M717">
            <v>0.80106352338722364</v>
          </cell>
        </row>
        <row r="718">
          <cell r="F718">
            <v>8</v>
          </cell>
          <cell r="G718" t="str">
            <v>Erie</v>
          </cell>
          <cell r="H718">
            <v>0.84013935420719876</v>
          </cell>
          <cell r="I718">
            <v>0.82695409555663402</v>
          </cell>
          <cell r="J718">
            <v>0.82839066282038076</v>
          </cell>
          <cell r="K718">
            <v>0.8092833424008895</v>
          </cell>
          <cell r="L718">
            <v>0.83122204744450534</v>
          </cell>
          <cell r="M718">
            <v>0.82243064182992021</v>
          </cell>
        </row>
        <row r="719">
          <cell r="F719">
            <v>9</v>
          </cell>
          <cell r="G719" t="str">
            <v>Fashion Institute</v>
          </cell>
          <cell r="H719">
            <v>0.7602705109786041</v>
          </cell>
          <cell r="I719">
            <v>0.75442598177377929</v>
          </cell>
          <cell r="J719">
            <v>0.7554923787006782</v>
          </cell>
          <cell r="K719">
            <v>0.7407904994688419</v>
          </cell>
          <cell r="L719">
            <v>0.7464018925763668</v>
          </cell>
          <cell r="M719">
            <v>0.76621834544275613</v>
          </cell>
        </row>
        <row r="720">
          <cell r="F720">
            <v>10</v>
          </cell>
          <cell r="G720" t="str">
            <v>Finger Lakes</v>
          </cell>
          <cell r="H720">
            <v>0.82048915655363153</v>
          </cell>
          <cell r="I720">
            <v>0.82406000094835385</v>
          </cell>
          <cell r="J720">
            <v>0.8211623331691954</v>
          </cell>
          <cell r="K720">
            <v>0.82146656325196155</v>
          </cell>
          <cell r="L720">
            <v>0.81944293288919878</v>
          </cell>
          <cell r="M720">
            <v>0.78793219899241462</v>
          </cell>
        </row>
        <row r="721">
          <cell r="F721">
            <v>11</v>
          </cell>
          <cell r="G721" t="str">
            <v>Fulton-Montgomery</v>
          </cell>
          <cell r="H721">
            <v>0.82418357069757653</v>
          </cell>
          <cell r="I721">
            <v>0.82068456622300001</v>
          </cell>
          <cell r="J721">
            <v>0.80842976833961699</v>
          </cell>
          <cell r="K721">
            <v>0.79752566687692739</v>
          </cell>
          <cell r="L721">
            <v>0.80228973502759504</v>
          </cell>
          <cell r="M721">
            <v>0.77845897251087126</v>
          </cell>
        </row>
        <row r="722">
          <cell r="F722">
            <v>12</v>
          </cell>
          <cell r="G722" t="str">
            <v>Genesee</v>
          </cell>
          <cell r="H722">
            <v>0.72304257425685881</v>
          </cell>
          <cell r="I722">
            <v>0.70479310506606285</v>
          </cell>
          <cell r="J722">
            <v>0.70011745430406402</v>
          </cell>
          <cell r="K722">
            <v>0.67517058189107648</v>
          </cell>
          <cell r="L722">
            <v>0.7026025413371042</v>
          </cell>
          <cell r="M722">
            <v>0.66805356702859042</v>
          </cell>
        </row>
        <row r="723">
          <cell r="F723">
            <v>13</v>
          </cell>
          <cell r="G723" t="str">
            <v>Herkimer</v>
          </cell>
          <cell r="H723">
            <v>0.79521834611411779</v>
          </cell>
          <cell r="I723">
            <v>0.80524238848887386</v>
          </cell>
          <cell r="J723">
            <v>0.80448726717753394</v>
          </cell>
          <cell r="K723">
            <v>0.80438234395405017</v>
          </cell>
          <cell r="L723">
            <v>0.81059291111380216</v>
          </cell>
          <cell r="M723">
            <v>0.81169188397058611</v>
          </cell>
        </row>
        <row r="724">
          <cell r="F724">
            <v>14</v>
          </cell>
          <cell r="G724" t="str">
            <v>Hudson Valley</v>
          </cell>
          <cell r="H724">
            <v>0.76203026928934448</v>
          </cell>
          <cell r="I724">
            <v>0.76382115514068005</v>
          </cell>
          <cell r="J724">
            <v>0.77780666316066371</v>
          </cell>
          <cell r="K724">
            <v>0.76758604371314576</v>
          </cell>
          <cell r="L724">
            <v>0.74231281281153805</v>
          </cell>
          <cell r="M724">
            <v>0.73597665124106015</v>
          </cell>
        </row>
        <row r="725">
          <cell r="F725">
            <v>15</v>
          </cell>
          <cell r="G725" t="str">
            <v>Jamestown</v>
          </cell>
          <cell r="H725">
            <v>0.81526071351123264</v>
          </cell>
          <cell r="I725">
            <v>0.81672590631680819</v>
          </cell>
          <cell r="J725">
            <v>0.81082390056521403</v>
          </cell>
          <cell r="K725">
            <v>0.80799334766556852</v>
          </cell>
          <cell r="L725">
            <v>0.81716991359222302</v>
          </cell>
          <cell r="M725">
            <v>0.82402792267521874</v>
          </cell>
        </row>
        <row r="726">
          <cell r="F726">
            <v>16</v>
          </cell>
          <cell r="G726" t="str">
            <v>Jefferson</v>
          </cell>
          <cell r="H726">
            <v>0.81243646802434599</v>
          </cell>
          <cell r="I726">
            <v>0.83134806583541976</v>
          </cell>
          <cell r="J726">
            <v>0.80656405514052698</v>
          </cell>
          <cell r="K726">
            <v>0.79046530614643717</v>
          </cell>
          <cell r="L726">
            <v>0.82476557439944553</v>
          </cell>
          <cell r="M726">
            <v>0.83947619342149671</v>
          </cell>
        </row>
        <row r="727">
          <cell r="F727">
            <v>17</v>
          </cell>
          <cell r="G727" t="str">
            <v>Mohawk Valley</v>
          </cell>
          <cell r="H727">
            <v>0.81355273642253334</v>
          </cell>
          <cell r="I727">
            <v>0.79873498595166637</v>
          </cell>
          <cell r="J727">
            <v>0.80853234195271717</v>
          </cell>
          <cell r="K727">
            <v>0.78555573090708763</v>
          </cell>
          <cell r="L727">
            <v>0.79636268011424294</v>
          </cell>
          <cell r="M727">
            <v>0.79983217373818161</v>
          </cell>
        </row>
        <row r="728">
          <cell r="F728">
            <v>18</v>
          </cell>
          <cell r="G728" t="str">
            <v>Monroe</v>
          </cell>
          <cell r="H728">
            <v>0.79022882708291797</v>
          </cell>
          <cell r="I728">
            <v>0.79459762838190418</v>
          </cell>
          <cell r="J728">
            <v>0.81023352966304241</v>
          </cell>
          <cell r="K728">
            <v>0.80632643682215621</v>
          </cell>
          <cell r="L728">
            <v>0.81319461184867003</v>
          </cell>
          <cell r="M728">
            <v>0.81968655093289877</v>
          </cell>
        </row>
        <row r="729">
          <cell r="F729">
            <v>19</v>
          </cell>
          <cell r="G729" t="str">
            <v>Nassau</v>
          </cell>
          <cell r="H729">
            <v>0.87435472578157436</v>
          </cell>
          <cell r="I729">
            <v>0.86857376788426421</v>
          </cell>
          <cell r="J729">
            <v>0.87615050668706929</v>
          </cell>
          <cell r="K729">
            <v>0.86386032261672252</v>
          </cell>
          <cell r="L729">
            <v>0.86338769254057846</v>
          </cell>
          <cell r="M729">
            <v>0.85460568075701149</v>
          </cell>
        </row>
        <row r="730">
          <cell r="F730">
            <v>20</v>
          </cell>
          <cell r="G730" t="str">
            <v>Niagara</v>
          </cell>
          <cell r="H730">
            <v>0.85721375407353062</v>
          </cell>
          <cell r="I730">
            <v>0.85773639703001192</v>
          </cell>
          <cell r="J730">
            <v>0.82523218390420583</v>
          </cell>
          <cell r="K730">
            <v>0.8283958568641131</v>
          </cell>
          <cell r="L730">
            <v>0.84605653137728809</v>
          </cell>
          <cell r="M730">
            <v>0.78829297958423383</v>
          </cell>
        </row>
        <row r="731">
          <cell r="F731">
            <v>21</v>
          </cell>
          <cell r="G731" t="str">
            <v>North Country</v>
          </cell>
          <cell r="H731">
            <v>0.76588695035449283</v>
          </cell>
          <cell r="I731">
            <v>0.68383460258027762</v>
          </cell>
          <cell r="J731">
            <v>0.66147567303411092</v>
          </cell>
          <cell r="K731">
            <v>0.6520607990206535</v>
          </cell>
          <cell r="L731">
            <v>0.6598416278928948</v>
          </cell>
          <cell r="M731">
            <v>0.6613025584584441</v>
          </cell>
        </row>
        <row r="732">
          <cell r="F732">
            <v>22</v>
          </cell>
          <cell r="G732" t="str">
            <v>Onondaga</v>
          </cell>
          <cell r="H732">
            <v>0.77390312225082758</v>
          </cell>
          <cell r="I732">
            <v>0.80426772280102288</v>
          </cell>
          <cell r="J732">
            <v>0.80333580639384317</v>
          </cell>
          <cell r="K732">
            <v>0.80922185677059943</v>
          </cell>
          <cell r="L732">
            <v>0.81625981393573821</v>
          </cell>
          <cell r="M732">
            <v>0.80575601362258586</v>
          </cell>
        </row>
        <row r="733">
          <cell r="F733">
            <v>23</v>
          </cell>
          <cell r="G733" t="str">
            <v>Orange</v>
          </cell>
          <cell r="H733">
            <v>0.82993056644791585</v>
          </cell>
          <cell r="I733">
            <v>0.81807311008940742</v>
          </cell>
          <cell r="J733">
            <v>0.80019049081626692</v>
          </cell>
          <cell r="K733">
            <v>0.81420797779027043</v>
          </cell>
          <cell r="L733">
            <v>0.83340098712106658</v>
          </cell>
          <cell r="M733">
            <v>0.83706139374104005</v>
          </cell>
        </row>
        <row r="734">
          <cell r="F734">
            <v>24</v>
          </cell>
          <cell r="G734" t="str">
            <v>Rockland</v>
          </cell>
          <cell r="H734">
            <v>0.87996820684466215</v>
          </cell>
          <cell r="I734">
            <v>0.88041960894465632</v>
          </cell>
          <cell r="J734">
            <v>0.8717745245971168</v>
          </cell>
          <cell r="K734">
            <v>0.85521678960796521</v>
          </cell>
          <cell r="L734">
            <v>0.8615406602427067</v>
          </cell>
          <cell r="M734">
            <v>0.86255304618536599</v>
          </cell>
        </row>
        <row r="735">
          <cell r="F735">
            <v>25</v>
          </cell>
          <cell r="G735" t="str">
            <v>Schenectady</v>
          </cell>
          <cell r="H735">
            <v>0.8046867883274027</v>
          </cell>
          <cell r="I735">
            <v>0.81108746066913084</v>
          </cell>
          <cell r="J735">
            <v>0.78842592218352192</v>
          </cell>
          <cell r="K735">
            <v>0.78178223357625753</v>
          </cell>
          <cell r="L735">
            <v>0.77332061900620441</v>
          </cell>
          <cell r="M735">
            <v>0.79292926641529249</v>
          </cell>
        </row>
        <row r="736">
          <cell r="F736">
            <v>26</v>
          </cell>
          <cell r="G736" t="str">
            <v>Suffolk</v>
          </cell>
          <cell r="H736">
            <v>0.86784734442655398</v>
          </cell>
          <cell r="I736">
            <v>0.86509858632855496</v>
          </cell>
          <cell r="J736">
            <v>0.86309410302461054</v>
          </cell>
          <cell r="K736">
            <v>0.85499521108475618</v>
          </cell>
          <cell r="L736">
            <v>0.8673165344327658</v>
          </cell>
          <cell r="M736">
            <v>0.86389888812060689</v>
          </cell>
        </row>
        <row r="737">
          <cell r="F737">
            <v>27</v>
          </cell>
          <cell r="G737" t="str">
            <v>Sullivan</v>
          </cell>
          <cell r="H737">
            <v>0.73109123572959611</v>
          </cell>
          <cell r="I737">
            <v>0.77975462103334126</v>
          </cell>
          <cell r="J737">
            <v>0.75890680467965521</v>
          </cell>
          <cell r="K737">
            <v>0.78362319350275078</v>
          </cell>
          <cell r="L737">
            <v>0.79476034788701022</v>
          </cell>
          <cell r="M737">
            <v>0.7958057364156963</v>
          </cell>
        </row>
        <row r="738">
          <cell r="F738">
            <v>28</v>
          </cell>
          <cell r="G738" t="str">
            <v>Tompkins-Cortland</v>
          </cell>
          <cell r="H738">
            <v>0.77014744576492178</v>
          </cell>
          <cell r="I738">
            <v>0.75223147576180216</v>
          </cell>
          <cell r="J738">
            <v>0.73788336882725636</v>
          </cell>
          <cell r="K738">
            <v>0.72568402807697752</v>
          </cell>
          <cell r="L738">
            <v>0.7460840117543619</v>
          </cell>
          <cell r="M738">
            <v>0.76388968204636132</v>
          </cell>
        </row>
        <row r="739">
          <cell r="F739">
            <v>29</v>
          </cell>
          <cell r="G739" t="str">
            <v>Ulster</v>
          </cell>
          <cell r="H739">
            <v>0.75819966413893214</v>
          </cell>
          <cell r="I739">
            <v>0.75207560446565158</v>
          </cell>
          <cell r="J739">
            <v>0.74723139963681984</v>
          </cell>
          <cell r="K739">
            <v>0.7180379809348304</v>
          </cell>
          <cell r="L739">
            <v>0.74151540531411131</v>
          </cell>
          <cell r="M739">
            <v>0.76235103320106745</v>
          </cell>
        </row>
        <row r="740">
          <cell r="F740">
            <v>30</v>
          </cell>
          <cell r="G740" t="str">
            <v>Westchester</v>
          </cell>
          <cell r="H740">
            <v>0.819331302970153</v>
          </cell>
          <cell r="I740">
            <v>0.82605441264593082</v>
          </cell>
          <cell r="J740">
            <v>0.82830600258389264</v>
          </cell>
          <cell r="K740">
            <v>0.82317565479405697</v>
          </cell>
          <cell r="L740">
            <v>0.83402611643058733</v>
          </cell>
          <cell r="M740">
            <v>0.83543213377140502</v>
          </cell>
        </row>
        <row r="742">
          <cell r="F742">
            <v>0</v>
          </cell>
          <cell r="G742" t="str">
            <v>Community Colleges</v>
          </cell>
          <cell r="H742">
            <v>8.575978571522952E-2</v>
          </cell>
          <cell r="I742">
            <v>8.417362567901307E-2</v>
          </cell>
          <cell r="J742">
            <v>9.1632061879135376E-2</v>
          </cell>
          <cell r="K742">
            <v>0.10208152085357779</v>
          </cell>
          <cell r="L742">
            <v>0.12045789622165513</v>
          </cell>
          <cell r="M742">
            <v>0.14207141190477895</v>
          </cell>
        </row>
        <row r="743">
          <cell r="F743">
            <v>1</v>
          </cell>
          <cell r="G743" t="str">
            <v>Adirondack</v>
          </cell>
          <cell r="H743">
            <v>9.6808444544424457E-2</v>
          </cell>
          <cell r="I743">
            <v>8.6951948470573595E-2</v>
          </cell>
          <cell r="J743">
            <v>0.12029425145820916</v>
          </cell>
          <cell r="K743">
            <v>0.14715294324462572</v>
          </cell>
          <cell r="L743">
            <v>9.157576196844619E-2</v>
          </cell>
          <cell r="M743">
            <v>9.629944790820523E-2</v>
          </cell>
        </row>
        <row r="744">
          <cell r="F744">
            <v>2</v>
          </cell>
          <cell r="G744" t="str">
            <v>Broome</v>
          </cell>
          <cell r="H744">
            <v>7.6762233100525393E-2</v>
          </cell>
          <cell r="I744">
            <v>8.5510771265110586E-2</v>
          </cell>
          <cell r="J744">
            <v>0.12750556604632673</v>
          </cell>
          <cell r="K744">
            <v>0.12865112281380192</v>
          </cell>
          <cell r="L744">
            <v>0.18305676360103762</v>
          </cell>
          <cell r="M744">
            <v>0.17451596736274114</v>
          </cell>
        </row>
        <row r="745">
          <cell r="F745">
            <v>3</v>
          </cell>
          <cell r="G745" t="str">
            <v>Cayuga</v>
          </cell>
          <cell r="H745">
            <v>8.3062788648536154E-2</v>
          </cell>
          <cell r="I745">
            <v>9.0761767038298261E-2</v>
          </cell>
          <cell r="J745">
            <v>9.4772017328588545E-2</v>
          </cell>
          <cell r="K745">
            <v>9.9983299780371196E-2</v>
          </cell>
          <cell r="L745">
            <v>0.10991794559140351</v>
          </cell>
          <cell r="M745">
            <v>0.17693373674977006</v>
          </cell>
        </row>
        <row r="746">
          <cell r="F746">
            <v>4</v>
          </cell>
          <cell r="G746" t="str">
            <v>Clinton</v>
          </cell>
          <cell r="H746">
            <v>0.14117499448617682</v>
          </cell>
          <cell r="I746">
            <v>0.11546313496675527</v>
          </cell>
          <cell r="J746">
            <v>0.10764161181565515</v>
          </cell>
          <cell r="K746">
            <v>0.14971558534768029</v>
          </cell>
          <cell r="L746">
            <v>0.21341210178029377</v>
          </cell>
          <cell r="M746">
            <v>0.22630823963491542</v>
          </cell>
        </row>
        <row r="747">
          <cell r="F747">
            <v>5</v>
          </cell>
          <cell r="G747" t="str">
            <v>Columbia-Greene</v>
          </cell>
          <cell r="H747">
            <v>7.601667685697816E-2</v>
          </cell>
          <cell r="I747">
            <v>7.7337808899230392E-2</v>
          </cell>
          <cell r="J747">
            <v>0.10477090209729351</v>
          </cell>
          <cell r="K747">
            <v>0.14450604082817076</v>
          </cell>
          <cell r="L747">
            <v>0.24389460827080786</v>
          </cell>
          <cell r="M747">
            <v>0.29477212109501794</v>
          </cell>
        </row>
        <row r="748">
          <cell r="F748">
            <v>6</v>
          </cell>
          <cell r="G748" t="str">
            <v>Corning</v>
          </cell>
          <cell r="H748">
            <v>0.1989160115019199</v>
          </cell>
          <cell r="I748">
            <v>0.23508764332115722</v>
          </cell>
          <cell r="J748">
            <v>0.22579133187099534</v>
          </cell>
          <cell r="K748">
            <v>0.18864083942828255</v>
          </cell>
          <cell r="L748">
            <v>0.22070419844641703</v>
          </cell>
          <cell r="M748">
            <v>0.28243535246049073</v>
          </cell>
        </row>
        <row r="749">
          <cell r="F749">
            <v>7</v>
          </cell>
          <cell r="G749" t="str">
            <v>Dutchess</v>
          </cell>
          <cell r="H749">
            <v>0.18992288368419566</v>
          </cell>
          <cell r="I749">
            <v>0.21335177689820362</v>
          </cell>
          <cell r="J749">
            <v>0.15606028497160496</v>
          </cell>
          <cell r="K749">
            <v>0.17966686717650307</v>
          </cell>
          <cell r="L749">
            <v>0.23014671801496442</v>
          </cell>
          <cell r="M749">
            <v>0.27790376135233547</v>
          </cell>
        </row>
        <row r="750">
          <cell r="F750">
            <v>8</v>
          </cell>
          <cell r="G750" t="str">
            <v>Erie</v>
          </cell>
          <cell r="H750">
            <v>7.4856996293504646E-2</v>
          </cell>
          <cell r="I750">
            <v>8.4199994871473297E-2</v>
          </cell>
          <cell r="J750">
            <v>7.981900662750864E-2</v>
          </cell>
          <cell r="K750">
            <v>9.6965553914505162E-2</v>
          </cell>
          <cell r="L750">
            <v>0.1602741262275435</v>
          </cell>
          <cell r="M750">
            <v>0.21280429888871893</v>
          </cell>
        </row>
        <row r="751">
          <cell r="F751">
            <v>9</v>
          </cell>
          <cell r="G751" t="str">
            <v>Fashion Institute</v>
          </cell>
          <cell r="H751">
            <v>0.27486913603431157</v>
          </cell>
          <cell r="I751">
            <v>0.27966168944528036</v>
          </cell>
          <cell r="J751">
            <v>0.28339322740274131</v>
          </cell>
          <cell r="K751">
            <v>0.27680571529725861</v>
          </cell>
          <cell r="L751">
            <v>0.26196295772588613</v>
          </cell>
          <cell r="M751">
            <v>0.2890296791186277</v>
          </cell>
        </row>
        <row r="752">
          <cell r="F752">
            <v>10</v>
          </cell>
          <cell r="G752" t="str">
            <v>Finger Lakes</v>
          </cell>
          <cell r="H752">
            <v>5.4922224897013143E-2</v>
          </cell>
          <cell r="I752">
            <v>2.962715844105759E-2</v>
          </cell>
          <cell r="J752">
            <v>6.6951944451503459E-2</v>
          </cell>
          <cell r="K752">
            <v>9.6632018708405557E-2</v>
          </cell>
          <cell r="L752">
            <v>0.13971037852488263</v>
          </cell>
          <cell r="M752">
            <v>0.17998921664313369</v>
          </cell>
        </row>
        <row r="753">
          <cell r="F753">
            <v>11</v>
          </cell>
          <cell r="G753" t="str">
            <v>Fulton-Montgomery</v>
          </cell>
          <cell r="H753">
            <v>8.7026790458220982E-2</v>
          </cell>
          <cell r="I753">
            <v>7.6724712183634927E-2</v>
          </cell>
          <cell r="J753">
            <v>0.10248538386281231</v>
          </cell>
          <cell r="K753">
            <v>8.7629326752194828E-2</v>
          </cell>
          <cell r="L753">
            <v>0.13280212922651216</v>
          </cell>
          <cell r="M753">
            <v>0.14913268167652843</v>
          </cell>
        </row>
        <row r="754">
          <cell r="F754">
            <v>12</v>
          </cell>
          <cell r="G754" t="str">
            <v>Genesee</v>
          </cell>
          <cell r="H754">
            <v>0.13391937419051883</v>
          </cell>
          <cell r="I754">
            <v>0.13209598369076325</v>
          </cell>
          <cell r="J754">
            <v>0.16588452949129984</v>
          </cell>
          <cell r="K754">
            <v>0.20762860172057077</v>
          </cell>
          <cell r="L754">
            <v>0.25372384939476061</v>
          </cell>
          <cell r="M754">
            <v>0.23064791911917745</v>
          </cell>
        </row>
        <row r="755">
          <cell r="F755">
            <v>13</v>
          </cell>
          <cell r="G755" t="str">
            <v>Herkimer</v>
          </cell>
          <cell r="H755">
            <v>6.9857380577602157E-2</v>
          </cell>
          <cell r="I755">
            <v>6.7426393260401452E-2</v>
          </cell>
          <cell r="J755">
            <v>9.6380620802932429E-2</v>
          </cell>
          <cell r="K755">
            <v>0.11914124598862502</v>
          </cell>
          <cell r="L755">
            <v>0.16332763078139736</v>
          </cell>
          <cell r="M755">
            <v>0.23865941574619925</v>
          </cell>
        </row>
        <row r="756">
          <cell r="F756">
            <v>14</v>
          </cell>
          <cell r="G756" t="str">
            <v>Hudson Valley</v>
          </cell>
          <cell r="H756">
            <v>-9.3650882774280769E-2</v>
          </cell>
          <cell r="I756">
            <v>-0.10130851240408388</v>
          </cell>
          <cell r="J756">
            <v>-3.6015209538811599E-2</v>
          </cell>
          <cell r="K756">
            <v>-3.0462490981773036E-2</v>
          </cell>
          <cell r="L756">
            <v>-4.6079466164564313E-2</v>
          </cell>
          <cell r="M756">
            <v>-6.1232835487851425E-2</v>
          </cell>
        </row>
        <row r="757">
          <cell r="F757">
            <v>15</v>
          </cell>
          <cell r="G757" t="str">
            <v>Jamestown</v>
          </cell>
          <cell r="H757">
            <v>5.769592313147643E-2</v>
          </cell>
          <cell r="I757">
            <v>2.5920505763981243E-2</v>
          </cell>
          <cell r="J757">
            <v>3.7545799226781813E-2</v>
          </cell>
          <cell r="K757">
            <v>5.2232132203722394E-2</v>
          </cell>
          <cell r="L757">
            <v>8.0502520452520349E-2</v>
          </cell>
          <cell r="M757">
            <v>0.2283993078573503</v>
          </cell>
        </row>
        <row r="758">
          <cell r="F758">
            <v>16</v>
          </cell>
          <cell r="G758" t="str">
            <v>Jefferson</v>
          </cell>
          <cell r="H758">
            <v>0.16944613173107897</v>
          </cell>
          <cell r="I758">
            <v>0.13857744872231828</v>
          </cell>
          <cell r="J758">
            <v>0.14884344025109864</v>
          </cell>
          <cell r="K758">
            <v>0.11326774738836924</v>
          </cell>
          <cell r="L758">
            <v>7.405866423204982E-2</v>
          </cell>
          <cell r="M758">
            <v>9.2524678292215265E-2</v>
          </cell>
        </row>
        <row r="759">
          <cell r="F759">
            <v>17</v>
          </cell>
          <cell r="G759" t="str">
            <v>Mohawk Valley</v>
          </cell>
          <cell r="H759">
            <v>8.5475123768956426E-2</v>
          </cell>
          <cell r="I759">
            <v>0.12362617712990585</v>
          </cell>
          <cell r="J759">
            <v>0.16796824192597631</v>
          </cell>
          <cell r="K759">
            <v>0.19090707266616846</v>
          </cell>
          <cell r="L759">
            <v>0.20749408868713373</v>
          </cell>
          <cell r="M759">
            <v>0.22079145209565751</v>
          </cell>
        </row>
        <row r="760">
          <cell r="F760">
            <v>18</v>
          </cell>
          <cell r="G760" t="str">
            <v>Monroe</v>
          </cell>
          <cell r="H760">
            <v>0.18919542594531114</v>
          </cell>
          <cell r="I760">
            <v>0.18109864210769921</v>
          </cell>
          <cell r="J760">
            <v>0.15463648257387436</v>
          </cell>
          <cell r="K760">
            <v>0.15997536446944566</v>
          </cell>
          <cell r="L760">
            <v>0.18159750963385088</v>
          </cell>
          <cell r="M760">
            <v>0.17747971074576835</v>
          </cell>
        </row>
        <row r="761">
          <cell r="F761">
            <v>19</v>
          </cell>
          <cell r="G761" t="str">
            <v>Nassau</v>
          </cell>
          <cell r="H761">
            <v>7.9336117642851214E-2</v>
          </cell>
          <cell r="I761">
            <v>8.51493369178392E-2</v>
          </cell>
          <cell r="J761">
            <v>8.8177604468395634E-2</v>
          </cell>
          <cell r="K761">
            <v>0.1303835432629529</v>
          </cell>
          <cell r="L761">
            <v>0.13292336562529544</v>
          </cell>
          <cell r="M761">
            <v>0.10646779015239582</v>
          </cell>
        </row>
        <row r="762">
          <cell r="F762">
            <v>20</v>
          </cell>
          <cell r="G762" t="str">
            <v>Niagara</v>
          </cell>
          <cell r="H762">
            <v>3.5751193042031601E-2</v>
          </cell>
          <cell r="I762">
            <v>4.8623280208763449E-2</v>
          </cell>
          <cell r="J762">
            <v>9.6080894425772598E-2</v>
          </cell>
          <cell r="K762">
            <v>9.5446315123364045E-2</v>
          </cell>
          <cell r="L762">
            <v>9.348886516585167E-2</v>
          </cell>
          <cell r="M762">
            <v>0.15699530909129139</v>
          </cell>
        </row>
        <row r="763">
          <cell r="F763">
            <v>21</v>
          </cell>
          <cell r="G763" t="str">
            <v>North Country</v>
          </cell>
          <cell r="H763">
            <v>-0.13482009789888796</v>
          </cell>
          <cell r="I763">
            <v>-0.11960573252706651</v>
          </cell>
          <cell r="J763">
            <v>-9.1944522877328239E-2</v>
          </cell>
          <cell r="K763">
            <v>-0.1002725895539256</v>
          </cell>
          <cell r="L763">
            <v>-7.0253085936960846E-3</v>
          </cell>
          <cell r="M763">
            <v>0.15484909962380958</v>
          </cell>
        </row>
        <row r="764">
          <cell r="F764">
            <v>22</v>
          </cell>
          <cell r="G764" t="str">
            <v>Onondaga</v>
          </cell>
          <cell r="H764">
            <v>6.470401219987236E-2</v>
          </cell>
          <cell r="I764">
            <v>6.4400780327737814E-2</v>
          </cell>
          <cell r="J764">
            <v>6.0266617977630339E-2</v>
          </cell>
          <cell r="K764">
            <v>5.5225953006087528E-2</v>
          </cell>
          <cell r="L764">
            <v>5.3979775953210817E-2</v>
          </cell>
          <cell r="M764">
            <v>5.726128640417754E-2</v>
          </cell>
        </row>
        <row r="765">
          <cell r="F765">
            <v>23</v>
          </cell>
          <cell r="G765" t="str">
            <v>Orange</v>
          </cell>
          <cell r="H765">
            <v>4.2365212097823985E-4</v>
          </cell>
          <cell r="I765">
            <v>4.7594283769683511E-3</v>
          </cell>
          <cell r="J765">
            <v>-2.1725975321399849E-2</v>
          </cell>
          <cell r="K765">
            <v>-1.3965655008147481E-2</v>
          </cell>
          <cell r="L765">
            <v>5.8183536815739983E-2</v>
          </cell>
          <cell r="M765">
            <v>0.12314568746331729</v>
          </cell>
        </row>
        <row r="766">
          <cell r="F766">
            <v>24</v>
          </cell>
          <cell r="G766" t="str">
            <v>Rockland</v>
          </cell>
          <cell r="H766">
            <v>2.0917610407505473E-2</v>
          </cell>
          <cell r="I766">
            <v>-2.9911642769731038E-2</v>
          </cell>
          <cell r="J766">
            <v>-5.6689269058455539E-2</v>
          </cell>
          <cell r="K766">
            <v>-4.562640817138492E-2</v>
          </cell>
          <cell r="L766">
            <v>-1.9456225417074799E-2</v>
          </cell>
          <cell r="M766">
            <v>2.3111248390554631E-2</v>
          </cell>
        </row>
        <row r="767">
          <cell r="F767">
            <v>25</v>
          </cell>
          <cell r="G767" t="str">
            <v>Schenectady</v>
          </cell>
          <cell r="H767">
            <v>0.14637688324346318</v>
          </cell>
          <cell r="I767">
            <v>0.11933499222762961</v>
          </cell>
          <cell r="J767">
            <v>0.13074563636251219</v>
          </cell>
          <cell r="K767">
            <v>8.7021950919886279E-2</v>
          </cell>
          <cell r="L767">
            <v>8.4213751177837276E-2</v>
          </cell>
          <cell r="M767">
            <v>0.20964639048555989</v>
          </cell>
        </row>
        <row r="768">
          <cell r="F768">
            <v>26</v>
          </cell>
          <cell r="G768" t="str">
            <v>Suffolk</v>
          </cell>
          <cell r="H768">
            <v>2.7395810591963408E-2</v>
          </cell>
          <cell r="I768">
            <v>2.5758570767634496E-2</v>
          </cell>
          <cell r="J768">
            <v>4.2695923341799322E-2</v>
          </cell>
          <cell r="K768">
            <v>4.7061272272096638E-2</v>
          </cell>
          <cell r="L768">
            <v>8.2569689675495744E-2</v>
          </cell>
          <cell r="M768">
            <v>9.8636148032223619E-2</v>
          </cell>
        </row>
        <row r="769">
          <cell r="F769">
            <v>27</v>
          </cell>
          <cell r="G769" t="str">
            <v>Sullivan</v>
          </cell>
          <cell r="H769">
            <v>-6.5124739818413616E-2</v>
          </cell>
          <cell r="I769">
            <v>-3.0219881507417078E-2</v>
          </cell>
          <cell r="J769">
            <v>2.8478579778129426E-2</v>
          </cell>
          <cell r="K769">
            <v>1.2902177440831773E-2</v>
          </cell>
          <cell r="L769">
            <v>2.1499852418130034E-2</v>
          </cell>
          <cell r="M769">
            <v>2.5437453168072482E-2</v>
          </cell>
        </row>
        <row r="770">
          <cell r="F770">
            <v>28</v>
          </cell>
          <cell r="G770" t="str">
            <v>Tompkins-Cortland</v>
          </cell>
          <cell r="H770">
            <v>1.0198932576470686E-2</v>
          </cell>
          <cell r="I770">
            <v>9.4216217057561547E-3</v>
          </cell>
          <cell r="J770">
            <v>9.4041284920497303E-3</v>
          </cell>
          <cell r="K770">
            <v>1.7103645941363921E-2</v>
          </cell>
          <cell r="L770">
            <v>3.4411393479640631E-2</v>
          </cell>
          <cell r="M770">
            <v>3.8885468609909733E-2</v>
          </cell>
        </row>
        <row r="771">
          <cell r="F771">
            <v>29</v>
          </cell>
          <cell r="G771" t="str">
            <v>Ulster</v>
          </cell>
          <cell r="H771">
            <v>5.1087162354528801E-2</v>
          </cell>
          <cell r="I771">
            <v>2.5492422383327308E-2</v>
          </cell>
          <cell r="J771">
            <v>3.2951423377440829E-2</v>
          </cell>
          <cell r="K771">
            <v>4.0125850462665383E-2</v>
          </cell>
          <cell r="L771">
            <v>-3.9934273700348605E-2</v>
          </cell>
          <cell r="M771">
            <v>-5.4006958960286502E-3</v>
          </cell>
        </row>
        <row r="772">
          <cell r="F772">
            <v>30</v>
          </cell>
          <cell r="G772" t="str">
            <v>Westchester</v>
          </cell>
          <cell r="H772">
            <v>1.3436406444492623E-2</v>
          </cell>
          <cell r="I772">
            <v>8.0391797543545584E-3</v>
          </cell>
          <cell r="J772">
            <v>1.6900137289741334E-2</v>
          </cell>
          <cell r="K772">
            <v>2.7729590286820569E-2</v>
          </cell>
          <cell r="L772">
            <v>3.9549101224374834E-2</v>
          </cell>
          <cell r="M772">
            <v>5.2131904283529706E-2</v>
          </cell>
        </row>
        <row r="774">
          <cell r="F774">
            <v>0</v>
          </cell>
          <cell r="G774" t="str">
            <v>Community Colleges</v>
          </cell>
          <cell r="H774">
            <v>30844.5</v>
          </cell>
          <cell r="I774">
            <v>31851.8</v>
          </cell>
          <cell r="J774">
            <v>30032.7</v>
          </cell>
          <cell r="K774">
            <v>40153.199999999997</v>
          </cell>
          <cell r="L774">
            <v>30901.7</v>
          </cell>
          <cell r="M774">
            <v>33768.1</v>
          </cell>
        </row>
        <row r="775">
          <cell r="F775">
            <v>1</v>
          </cell>
          <cell r="G775" t="str">
            <v>Adirondack</v>
          </cell>
          <cell r="H775">
            <v>831</v>
          </cell>
          <cell r="I775">
            <v>1135.9000000000001</v>
          </cell>
          <cell r="J775">
            <v>458.6</v>
          </cell>
          <cell r="K775">
            <v>390.7</v>
          </cell>
          <cell r="L775">
            <v>713.4</v>
          </cell>
          <cell r="M775">
            <v>1118.4000000000001</v>
          </cell>
        </row>
        <row r="776">
          <cell r="F776">
            <v>2</v>
          </cell>
          <cell r="G776" t="str">
            <v>Broome</v>
          </cell>
          <cell r="H776">
            <v>1127</v>
          </cell>
          <cell r="I776">
            <v>1062.7</v>
          </cell>
          <cell r="J776">
            <v>1267.8</v>
          </cell>
          <cell r="K776">
            <v>979.4</v>
          </cell>
          <cell r="L776">
            <v>958.3</v>
          </cell>
          <cell r="M776">
            <v>844</v>
          </cell>
        </row>
        <row r="777">
          <cell r="F777">
            <v>3</v>
          </cell>
          <cell r="G777" t="str">
            <v>Cayuga</v>
          </cell>
          <cell r="H777">
            <v>733</v>
          </cell>
          <cell r="I777">
            <v>824.9</v>
          </cell>
          <cell r="J777">
            <v>1056.2</v>
          </cell>
          <cell r="K777">
            <v>1461.6</v>
          </cell>
          <cell r="L777">
            <v>1247</v>
          </cell>
          <cell r="M777">
            <v>293.7</v>
          </cell>
        </row>
        <row r="778">
          <cell r="F778">
            <v>4</v>
          </cell>
          <cell r="G778" t="str">
            <v>Clinton</v>
          </cell>
          <cell r="H778">
            <v>272</v>
          </cell>
          <cell r="I778">
            <v>298</v>
          </cell>
          <cell r="J778">
            <v>1447.7</v>
          </cell>
          <cell r="K778">
            <v>783.7</v>
          </cell>
          <cell r="L778">
            <v>557.1</v>
          </cell>
          <cell r="M778">
            <v>251.6</v>
          </cell>
        </row>
        <row r="779">
          <cell r="F779">
            <v>5</v>
          </cell>
          <cell r="G779" t="str">
            <v>Columbia-Greene</v>
          </cell>
          <cell r="H779">
            <v>1106</v>
          </cell>
          <cell r="I779">
            <v>104.4</v>
          </cell>
          <cell r="J779">
            <v>212</v>
          </cell>
          <cell r="K779">
            <v>125.8</v>
          </cell>
          <cell r="L779">
            <v>200.1</v>
          </cell>
          <cell r="M779">
            <v>137</v>
          </cell>
        </row>
        <row r="780">
          <cell r="F780">
            <v>6</v>
          </cell>
          <cell r="G780" t="str">
            <v>Corning</v>
          </cell>
          <cell r="H780">
            <v>222</v>
          </cell>
          <cell r="I780">
            <v>841.6</v>
          </cell>
          <cell r="J780">
            <v>204.9</v>
          </cell>
          <cell r="K780">
            <v>962</v>
          </cell>
          <cell r="L780">
            <v>1112.2</v>
          </cell>
          <cell r="M780">
            <v>942.5</v>
          </cell>
        </row>
        <row r="781">
          <cell r="F781">
            <v>7</v>
          </cell>
          <cell r="G781" t="str">
            <v>Dutchess</v>
          </cell>
          <cell r="H781">
            <v>946</v>
          </cell>
          <cell r="I781">
            <v>1662.1</v>
          </cell>
          <cell r="J781">
            <v>1064.4000000000001</v>
          </cell>
          <cell r="K781">
            <v>1411.2</v>
          </cell>
          <cell r="L781">
            <v>1397.9</v>
          </cell>
          <cell r="M781">
            <v>869.2</v>
          </cell>
        </row>
        <row r="782">
          <cell r="F782">
            <v>8</v>
          </cell>
          <cell r="G782" t="str">
            <v>Erie</v>
          </cell>
          <cell r="H782">
            <v>1047</v>
          </cell>
          <cell r="I782">
            <v>633.6</v>
          </cell>
          <cell r="J782">
            <v>862.5</v>
          </cell>
          <cell r="K782">
            <v>725.6</v>
          </cell>
          <cell r="L782">
            <v>877.2</v>
          </cell>
          <cell r="M782">
            <v>978.1</v>
          </cell>
        </row>
        <row r="783">
          <cell r="F783">
            <v>9</v>
          </cell>
          <cell r="G783" t="str">
            <v>Fashion Institute</v>
          </cell>
          <cell r="H783">
            <v>6170</v>
          </cell>
          <cell r="I783">
            <v>5179.5</v>
          </cell>
          <cell r="J783">
            <v>4717.6000000000004</v>
          </cell>
          <cell r="K783">
            <v>6034</v>
          </cell>
          <cell r="L783">
            <v>4718.3</v>
          </cell>
          <cell r="M783">
            <v>7067.7</v>
          </cell>
        </row>
        <row r="784">
          <cell r="F784">
            <v>10</v>
          </cell>
          <cell r="G784" t="str">
            <v>Finger Lakes</v>
          </cell>
          <cell r="H784">
            <v>275</v>
          </cell>
          <cell r="I784">
            <v>196.3</v>
          </cell>
          <cell r="J784">
            <v>242.9</v>
          </cell>
          <cell r="K784">
            <v>249.1</v>
          </cell>
          <cell r="L784">
            <v>248.2</v>
          </cell>
          <cell r="M784">
            <v>1329.3</v>
          </cell>
        </row>
        <row r="785">
          <cell r="F785">
            <v>11</v>
          </cell>
          <cell r="G785" t="str">
            <v>Fulton-Montgomery</v>
          </cell>
          <cell r="H785">
            <v>184</v>
          </cell>
          <cell r="I785">
            <v>225.8</v>
          </cell>
          <cell r="J785">
            <v>362.7</v>
          </cell>
          <cell r="K785">
            <v>338.8</v>
          </cell>
          <cell r="L785">
            <v>383.6</v>
          </cell>
          <cell r="M785">
            <v>392.1</v>
          </cell>
        </row>
        <row r="786">
          <cell r="F786">
            <v>12</v>
          </cell>
          <cell r="G786" t="str">
            <v>Genesee</v>
          </cell>
          <cell r="H786">
            <v>528</v>
          </cell>
          <cell r="I786">
            <v>607.4</v>
          </cell>
          <cell r="J786">
            <v>544.20000000000005</v>
          </cell>
          <cell r="K786">
            <v>578.5</v>
          </cell>
          <cell r="L786">
            <v>639.5</v>
          </cell>
          <cell r="M786">
            <v>500.8</v>
          </cell>
        </row>
        <row r="787">
          <cell r="F787">
            <v>13</v>
          </cell>
          <cell r="G787" t="str">
            <v>Herkimer</v>
          </cell>
          <cell r="H787">
            <v>121</v>
          </cell>
          <cell r="I787">
            <v>332.3</v>
          </cell>
          <cell r="J787">
            <v>209.2</v>
          </cell>
          <cell r="K787">
            <v>169</v>
          </cell>
          <cell r="L787">
            <v>194.9</v>
          </cell>
          <cell r="M787">
            <v>196</v>
          </cell>
        </row>
        <row r="788">
          <cell r="F788">
            <v>14</v>
          </cell>
          <cell r="G788" t="str">
            <v>Hudson Valley</v>
          </cell>
          <cell r="H788">
            <v>771</v>
          </cell>
          <cell r="I788">
            <v>1234.5</v>
          </cell>
          <cell r="J788">
            <v>912.7</v>
          </cell>
          <cell r="K788">
            <v>1040</v>
          </cell>
          <cell r="L788">
            <v>1395</v>
          </cell>
          <cell r="M788">
            <v>967.5</v>
          </cell>
        </row>
        <row r="789">
          <cell r="F789">
            <v>15</v>
          </cell>
          <cell r="G789" t="str">
            <v>Jamestown</v>
          </cell>
          <cell r="H789">
            <v>1658</v>
          </cell>
          <cell r="I789">
            <v>1135.9000000000001</v>
          </cell>
          <cell r="J789">
            <v>889.9</v>
          </cell>
          <cell r="K789">
            <v>1950</v>
          </cell>
          <cell r="L789">
            <v>685.2</v>
          </cell>
          <cell r="M789">
            <v>1494.7</v>
          </cell>
        </row>
        <row r="790">
          <cell r="F790">
            <v>16</v>
          </cell>
          <cell r="G790" t="str">
            <v>Jefferson</v>
          </cell>
          <cell r="H790">
            <v>255</v>
          </cell>
          <cell r="I790">
            <v>314.60000000000002</v>
          </cell>
          <cell r="J790">
            <v>622.5</v>
          </cell>
          <cell r="K790">
            <v>673.5</v>
          </cell>
          <cell r="L790">
            <v>276.7</v>
          </cell>
          <cell r="M790">
            <v>364.4</v>
          </cell>
        </row>
        <row r="791">
          <cell r="F791">
            <v>17</v>
          </cell>
          <cell r="G791" t="str">
            <v>Mohawk Valley</v>
          </cell>
          <cell r="H791">
            <v>659</v>
          </cell>
          <cell r="I791">
            <v>1203.9000000000001</v>
          </cell>
          <cell r="J791">
            <v>1198</v>
          </cell>
          <cell r="K791">
            <v>0</v>
          </cell>
          <cell r="L791">
            <v>790.3</v>
          </cell>
          <cell r="M791">
            <v>365.7</v>
          </cell>
        </row>
        <row r="792">
          <cell r="F792">
            <v>18</v>
          </cell>
          <cell r="G792" t="str">
            <v>Monroe</v>
          </cell>
          <cell r="H792">
            <v>2860</v>
          </cell>
          <cell r="I792">
            <v>2450.9</v>
          </cell>
          <cell r="J792">
            <v>3841.1</v>
          </cell>
          <cell r="K792">
            <v>5634.3</v>
          </cell>
          <cell r="L792">
            <v>3508.3</v>
          </cell>
          <cell r="M792">
            <v>2961.4</v>
          </cell>
        </row>
        <row r="793">
          <cell r="F793">
            <v>19</v>
          </cell>
          <cell r="G793" t="str">
            <v>Nassau</v>
          </cell>
          <cell r="H793">
            <v>345.7</v>
          </cell>
          <cell r="I793">
            <v>357.6</v>
          </cell>
          <cell r="J793">
            <v>703.1</v>
          </cell>
          <cell r="K793">
            <v>321.5</v>
          </cell>
          <cell r="L793">
            <v>491.2</v>
          </cell>
          <cell r="M793">
            <v>375.3</v>
          </cell>
        </row>
        <row r="794">
          <cell r="F794">
            <v>20</v>
          </cell>
          <cell r="G794" t="str">
            <v>Niagara</v>
          </cell>
          <cell r="H794">
            <v>398</v>
          </cell>
          <cell r="I794">
            <v>507.3</v>
          </cell>
          <cell r="J794">
            <v>702.8</v>
          </cell>
          <cell r="K794">
            <v>598</v>
          </cell>
          <cell r="L794">
            <v>886.7</v>
          </cell>
          <cell r="M794">
            <v>899.8</v>
          </cell>
        </row>
        <row r="795">
          <cell r="F795">
            <v>21</v>
          </cell>
          <cell r="G795" t="str">
            <v>North Country</v>
          </cell>
          <cell r="H795">
            <v>636</v>
          </cell>
          <cell r="I795">
            <v>39.700000000000003</v>
          </cell>
          <cell r="J795">
            <v>37.200000000000003</v>
          </cell>
          <cell r="K795">
            <v>131</v>
          </cell>
          <cell r="L795">
            <v>42.9</v>
          </cell>
          <cell r="M795">
            <v>7.8</v>
          </cell>
        </row>
        <row r="796">
          <cell r="F796">
            <v>22</v>
          </cell>
          <cell r="G796" t="str">
            <v>Onondaga</v>
          </cell>
          <cell r="H796">
            <v>429</v>
          </cell>
          <cell r="I796">
            <v>325.7</v>
          </cell>
          <cell r="J796">
            <v>590.6</v>
          </cell>
          <cell r="K796">
            <v>1155.3</v>
          </cell>
          <cell r="L796">
            <v>1000.6</v>
          </cell>
          <cell r="M796">
            <v>1535.6</v>
          </cell>
        </row>
        <row r="797">
          <cell r="F797">
            <v>23</v>
          </cell>
          <cell r="G797" t="str">
            <v>Orange</v>
          </cell>
          <cell r="H797">
            <v>275</v>
          </cell>
          <cell r="I797">
            <v>745.4</v>
          </cell>
          <cell r="J797">
            <v>278.3</v>
          </cell>
          <cell r="K797">
            <v>483.1</v>
          </cell>
          <cell r="L797">
            <v>358.8</v>
          </cell>
          <cell r="M797">
            <v>1183.5</v>
          </cell>
        </row>
        <row r="798">
          <cell r="F798">
            <v>24</v>
          </cell>
          <cell r="G798" t="str">
            <v>Rockland</v>
          </cell>
          <cell r="H798">
            <v>235.8</v>
          </cell>
          <cell r="I798">
            <v>329</v>
          </cell>
          <cell r="J798">
            <v>310.39999999999998</v>
          </cell>
          <cell r="K798">
            <v>344</v>
          </cell>
          <cell r="L798">
            <v>333.5</v>
          </cell>
          <cell r="M798">
            <v>655.8</v>
          </cell>
        </row>
        <row r="799">
          <cell r="F799">
            <v>25</v>
          </cell>
          <cell r="G799" t="str">
            <v>Schenectady</v>
          </cell>
          <cell r="H799">
            <v>839</v>
          </cell>
          <cell r="I799">
            <v>867.6</v>
          </cell>
          <cell r="J799">
            <v>1246.5</v>
          </cell>
          <cell r="K799">
            <v>613.20000000000005</v>
          </cell>
          <cell r="L799">
            <v>502.6</v>
          </cell>
          <cell r="M799">
            <v>490.8</v>
          </cell>
        </row>
        <row r="800">
          <cell r="F800">
            <v>26</v>
          </cell>
          <cell r="G800" t="str">
            <v>Suffolk</v>
          </cell>
          <cell r="H800">
            <v>1018</v>
          </cell>
          <cell r="I800">
            <v>1028.4000000000001</v>
          </cell>
          <cell r="J800">
            <v>874.4</v>
          </cell>
          <cell r="K800">
            <v>5859.1</v>
          </cell>
          <cell r="L800">
            <v>752.5</v>
          </cell>
          <cell r="M800">
            <v>762.9</v>
          </cell>
        </row>
        <row r="801">
          <cell r="F801">
            <v>27</v>
          </cell>
          <cell r="G801" t="str">
            <v>Sullivan</v>
          </cell>
          <cell r="H801">
            <v>234</v>
          </cell>
          <cell r="I801">
            <v>992.4</v>
          </cell>
          <cell r="J801">
            <v>227.5</v>
          </cell>
          <cell r="K801">
            <v>134.69999999999999</v>
          </cell>
          <cell r="L801">
            <v>133.6</v>
          </cell>
          <cell r="M801">
            <v>134.5</v>
          </cell>
        </row>
        <row r="802">
          <cell r="F802">
            <v>28</v>
          </cell>
          <cell r="G802" t="str">
            <v>Tompkins-Cortland</v>
          </cell>
          <cell r="H802">
            <v>993</v>
          </cell>
          <cell r="I802">
            <v>317.10000000000002</v>
          </cell>
          <cell r="J802">
            <v>264.3</v>
          </cell>
          <cell r="K802">
            <v>2166</v>
          </cell>
          <cell r="L802">
            <v>1132.0999999999999</v>
          </cell>
          <cell r="M802">
            <v>1195</v>
          </cell>
        </row>
        <row r="803">
          <cell r="F803">
            <v>29</v>
          </cell>
          <cell r="G803" t="str">
            <v>Ulster</v>
          </cell>
          <cell r="H803">
            <v>342</v>
          </cell>
          <cell r="I803">
            <v>303.60000000000002</v>
          </cell>
          <cell r="J803">
            <v>329.6</v>
          </cell>
          <cell r="K803">
            <v>285.10000000000002</v>
          </cell>
          <cell r="L803">
            <v>268.10000000000002</v>
          </cell>
          <cell r="M803">
            <v>402.8</v>
          </cell>
        </row>
        <row r="804">
          <cell r="F804">
            <v>30</v>
          </cell>
          <cell r="G804" t="str">
            <v>Westchester</v>
          </cell>
          <cell r="H804">
            <v>5334</v>
          </cell>
          <cell r="I804">
            <v>6593.9</v>
          </cell>
          <cell r="J804">
            <v>4353.1000000000004</v>
          </cell>
          <cell r="K804">
            <v>4555.1000000000004</v>
          </cell>
          <cell r="L804">
            <v>5096.3</v>
          </cell>
          <cell r="M804">
            <v>5050.3999999999996</v>
          </cell>
        </row>
        <row r="806">
          <cell r="F806">
            <v>0</v>
          </cell>
          <cell r="G806" t="str">
            <v>Community Colleges</v>
          </cell>
          <cell r="H806">
            <v>24590</v>
          </cell>
          <cell r="I806">
            <v>24405</v>
          </cell>
          <cell r="J806">
            <v>25128</v>
          </cell>
          <cell r="K806">
            <v>25613</v>
          </cell>
          <cell r="L806">
            <v>26569</v>
          </cell>
          <cell r="M806">
            <v>26909</v>
          </cell>
        </row>
        <row r="807">
          <cell r="F807">
            <v>1</v>
          </cell>
          <cell r="G807" t="str">
            <v>Adirondack</v>
          </cell>
          <cell r="H807">
            <v>371</v>
          </cell>
          <cell r="I807">
            <v>379</v>
          </cell>
          <cell r="J807">
            <v>375</v>
          </cell>
          <cell r="K807">
            <v>372</v>
          </cell>
          <cell r="L807">
            <v>398</v>
          </cell>
          <cell r="M807">
            <v>410</v>
          </cell>
        </row>
        <row r="808">
          <cell r="F808">
            <v>2</v>
          </cell>
          <cell r="G808" t="str">
            <v>Broome</v>
          </cell>
          <cell r="H808">
            <v>668</v>
          </cell>
          <cell r="I808">
            <v>686</v>
          </cell>
          <cell r="J808">
            <v>726</v>
          </cell>
          <cell r="K808">
            <v>753</v>
          </cell>
          <cell r="L808">
            <v>783</v>
          </cell>
          <cell r="M808">
            <v>774</v>
          </cell>
        </row>
        <row r="809">
          <cell r="F809">
            <v>3</v>
          </cell>
          <cell r="G809" t="str">
            <v>Cayuga</v>
          </cell>
          <cell r="H809">
            <v>437</v>
          </cell>
          <cell r="I809">
            <v>438</v>
          </cell>
          <cell r="J809">
            <v>401</v>
          </cell>
          <cell r="K809">
            <v>413</v>
          </cell>
          <cell r="L809">
            <v>454</v>
          </cell>
          <cell r="M809">
            <v>523</v>
          </cell>
        </row>
        <row r="810">
          <cell r="F810">
            <v>4</v>
          </cell>
          <cell r="G810" t="str">
            <v>Clinton</v>
          </cell>
          <cell r="H810">
            <v>248</v>
          </cell>
          <cell r="I810">
            <v>239</v>
          </cell>
          <cell r="J810">
            <v>235</v>
          </cell>
          <cell r="K810">
            <v>236</v>
          </cell>
          <cell r="L810">
            <v>236</v>
          </cell>
          <cell r="M810">
            <v>253</v>
          </cell>
        </row>
        <row r="811">
          <cell r="F811">
            <v>5</v>
          </cell>
          <cell r="G811" t="str">
            <v>Columbia-Greene</v>
          </cell>
          <cell r="H811">
            <v>239</v>
          </cell>
          <cell r="I811">
            <v>254</v>
          </cell>
          <cell r="J811">
            <v>273</v>
          </cell>
          <cell r="K811">
            <v>277</v>
          </cell>
          <cell r="L811">
            <v>283</v>
          </cell>
          <cell r="M811">
            <v>278</v>
          </cell>
        </row>
        <row r="812">
          <cell r="F812">
            <v>6</v>
          </cell>
          <cell r="G812" t="str">
            <v>Corning</v>
          </cell>
          <cell r="H812">
            <v>510</v>
          </cell>
          <cell r="I812">
            <v>478</v>
          </cell>
          <cell r="J812">
            <v>511</v>
          </cell>
          <cell r="K812">
            <v>485</v>
          </cell>
          <cell r="L812">
            <v>554</v>
          </cell>
          <cell r="M812">
            <v>560</v>
          </cell>
        </row>
        <row r="813">
          <cell r="F813">
            <v>7</v>
          </cell>
          <cell r="G813" t="str">
            <v>Dutchess</v>
          </cell>
          <cell r="H813">
            <v>734</v>
          </cell>
          <cell r="I813">
            <v>720</v>
          </cell>
          <cell r="J813">
            <v>753</v>
          </cell>
          <cell r="K813">
            <v>758</v>
          </cell>
          <cell r="L813">
            <v>798</v>
          </cell>
          <cell r="M813">
            <v>840</v>
          </cell>
        </row>
        <row r="814">
          <cell r="F814">
            <v>8</v>
          </cell>
          <cell r="G814" t="str">
            <v>Erie</v>
          </cell>
          <cell r="H814">
            <v>2289</v>
          </cell>
          <cell r="I814">
            <v>2161</v>
          </cell>
          <cell r="J814">
            <v>2243</v>
          </cell>
          <cell r="K814">
            <v>2395</v>
          </cell>
          <cell r="L814">
            <v>2348</v>
          </cell>
          <cell r="M814">
            <v>2439</v>
          </cell>
        </row>
        <row r="815">
          <cell r="F815">
            <v>9</v>
          </cell>
          <cell r="G815" t="str">
            <v>Fashion Institute</v>
          </cell>
          <cell r="H815">
            <v>1598</v>
          </cell>
          <cell r="I815">
            <v>1562</v>
          </cell>
          <cell r="J815">
            <v>1578</v>
          </cell>
          <cell r="K815">
            <v>1666</v>
          </cell>
          <cell r="L815">
            <v>1712</v>
          </cell>
          <cell r="M815">
            <v>1716</v>
          </cell>
        </row>
        <row r="816">
          <cell r="F816">
            <v>10</v>
          </cell>
          <cell r="G816" t="str">
            <v>Finger Lakes</v>
          </cell>
          <cell r="H816">
            <v>476</v>
          </cell>
          <cell r="I816">
            <v>472</v>
          </cell>
          <cell r="J816">
            <v>496</v>
          </cell>
          <cell r="K816">
            <v>524</v>
          </cell>
          <cell r="L816">
            <v>551</v>
          </cell>
          <cell r="M816">
            <v>583</v>
          </cell>
        </row>
        <row r="817">
          <cell r="F817">
            <v>11</v>
          </cell>
          <cell r="G817" t="str">
            <v>Fulton-Montgomery</v>
          </cell>
          <cell r="H817">
            <v>245</v>
          </cell>
          <cell r="I817">
            <v>242</v>
          </cell>
          <cell r="J817">
            <v>251</v>
          </cell>
          <cell r="K817">
            <v>254</v>
          </cell>
          <cell r="L817">
            <v>280</v>
          </cell>
          <cell r="M817">
            <v>305</v>
          </cell>
        </row>
        <row r="818">
          <cell r="F818">
            <v>12</v>
          </cell>
          <cell r="G818" t="str">
            <v>Genesee</v>
          </cell>
          <cell r="H818">
            <v>583</v>
          </cell>
          <cell r="I818">
            <v>592</v>
          </cell>
          <cell r="J818">
            <v>611</v>
          </cell>
          <cell r="K818">
            <v>652</v>
          </cell>
          <cell r="L818">
            <v>660</v>
          </cell>
          <cell r="M818">
            <v>699</v>
          </cell>
        </row>
        <row r="819">
          <cell r="F819">
            <v>13</v>
          </cell>
          <cell r="G819" t="str">
            <v>Herkimer</v>
          </cell>
          <cell r="H819">
            <v>345</v>
          </cell>
          <cell r="I819">
            <v>380</v>
          </cell>
          <cell r="J819">
            <v>385</v>
          </cell>
          <cell r="K819">
            <v>369</v>
          </cell>
          <cell r="L819">
            <v>367</v>
          </cell>
          <cell r="M819">
            <v>338</v>
          </cell>
        </row>
        <row r="820">
          <cell r="F820">
            <v>14</v>
          </cell>
          <cell r="G820" t="str">
            <v>Hudson Valley</v>
          </cell>
          <cell r="H820">
            <v>1083</v>
          </cell>
          <cell r="I820">
            <v>1117</v>
          </cell>
          <cell r="J820">
            <v>1096</v>
          </cell>
          <cell r="K820">
            <v>1120</v>
          </cell>
          <cell r="L820">
            <v>1177</v>
          </cell>
          <cell r="M820">
            <v>1175</v>
          </cell>
        </row>
        <row r="821">
          <cell r="F821">
            <v>15</v>
          </cell>
          <cell r="G821" t="str">
            <v>Jamestown</v>
          </cell>
          <cell r="H821">
            <v>560</v>
          </cell>
          <cell r="I821">
            <v>543</v>
          </cell>
          <cell r="J821">
            <v>541</v>
          </cell>
          <cell r="K821">
            <v>579</v>
          </cell>
          <cell r="L821">
            <v>581</v>
          </cell>
          <cell r="M821">
            <v>620</v>
          </cell>
        </row>
        <row r="822">
          <cell r="F822">
            <v>16</v>
          </cell>
          <cell r="G822" t="str">
            <v>Jefferson</v>
          </cell>
          <cell r="H822">
            <v>350</v>
          </cell>
          <cell r="I822">
            <v>313</v>
          </cell>
          <cell r="J822">
            <v>311</v>
          </cell>
          <cell r="K822">
            <v>326</v>
          </cell>
          <cell r="L822">
            <v>383</v>
          </cell>
          <cell r="M822">
            <v>389</v>
          </cell>
        </row>
        <row r="823">
          <cell r="F823">
            <v>17</v>
          </cell>
          <cell r="G823" t="str">
            <v>Mohawk Valley</v>
          </cell>
          <cell r="H823">
            <v>693</v>
          </cell>
          <cell r="I823">
            <v>701</v>
          </cell>
          <cell r="J823">
            <v>713</v>
          </cell>
          <cell r="K823">
            <v>747</v>
          </cell>
          <cell r="L823">
            <v>793</v>
          </cell>
          <cell r="M823">
            <v>841</v>
          </cell>
        </row>
        <row r="824">
          <cell r="F824">
            <v>18</v>
          </cell>
          <cell r="G824" t="str">
            <v>Monroe</v>
          </cell>
          <cell r="H824">
            <v>1773</v>
          </cell>
          <cell r="I824">
            <v>1663</v>
          </cell>
          <cell r="J824">
            <v>1676</v>
          </cell>
          <cell r="K824">
            <v>1735</v>
          </cell>
          <cell r="L824">
            <v>1815</v>
          </cell>
          <cell r="M824">
            <v>1868</v>
          </cell>
        </row>
        <row r="825">
          <cell r="F825">
            <v>19</v>
          </cell>
          <cell r="G825" t="str">
            <v>Nassau</v>
          </cell>
          <cell r="H825">
            <v>2460</v>
          </cell>
          <cell r="I825">
            <v>2374</v>
          </cell>
          <cell r="J825">
            <v>2523</v>
          </cell>
          <cell r="K825">
            <v>2467</v>
          </cell>
          <cell r="L825">
            <v>2450</v>
          </cell>
          <cell r="M825">
            <v>2416</v>
          </cell>
        </row>
        <row r="826">
          <cell r="F826">
            <v>20</v>
          </cell>
          <cell r="G826" t="str">
            <v>Niagara</v>
          </cell>
          <cell r="H826">
            <v>704</v>
          </cell>
          <cell r="I826">
            <v>704</v>
          </cell>
          <cell r="J826">
            <v>749</v>
          </cell>
          <cell r="K826">
            <v>785</v>
          </cell>
          <cell r="L826">
            <v>766</v>
          </cell>
          <cell r="M826">
            <v>709</v>
          </cell>
        </row>
        <row r="827">
          <cell r="F827">
            <v>21</v>
          </cell>
          <cell r="G827" t="str">
            <v>North Country</v>
          </cell>
          <cell r="H827">
            <v>163</v>
          </cell>
          <cell r="I827">
            <v>199</v>
          </cell>
          <cell r="J827">
            <v>264</v>
          </cell>
          <cell r="K827">
            <v>163</v>
          </cell>
          <cell r="L827">
            <v>180</v>
          </cell>
          <cell r="M827">
            <v>192</v>
          </cell>
        </row>
        <row r="828">
          <cell r="F828">
            <v>22</v>
          </cell>
          <cell r="G828" t="str">
            <v>Onondaga</v>
          </cell>
          <cell r="H828">
            <v>832</v>
          </cell>
          <cell r="I828">
            <v>884</v>
          </cell>
          <cell r="J828">
            <v>945</v>
          </cell>
          <cell r="K828">
            <v>956</v>
          </cell>
          <cell r="L828">
            <v>1035</v>
          </cell>
          <cell r="M828">
            <v>1099</v>
          </cell>
        </row>
        <row r="829">
          <cell r="F829">
            <v>23</v>
          </cell>
          <cell r="G829" t="str">
            <v>Orange</v>
          </cell>
          <cell r="H829">
            <v>855</v>
          </cell>
          <cell r="I829">
            <v>1003</v>
          </cell>
          <cell r="J829">
            <v>1193</v>
          </cell>
          <cell r="K829">
            <v>1124</v>
          </cell>
          <cell r="L829">
            <v>1319</v>
          </cell>
          <cell r="M829">
            <v>1358</v>
          </cell>
        </row>
        <row r="830">
          <cell r="F830">
            <v>24</v>
          </cell>
          <cell r="G830" t="str">
            <v>Rockland</v>
          </cell>
          <cell r="H830">
            <v>917</v>
          </cell>
          <cell r="I830">
            <v>935</v>
          </cell>
          <cell r="J830">
            <v>1013</v>
          </cell>
          <cell r="K830">
            <v>1091</v>
          </cell>
          <cell r="L830">
            <v>1055</v>
          </cell>
          <cell r="M830">
            <v>1177</v>
          </cell>
        </row>
        <row r="831">
          <cell r="F831">
            <v>25</v>
          </cell>
          <cell r="G831" t="str">
            <v>Schenectady</v>
          </cell>
          <cell r="H831">
            <v>448</v>
          </cell>
          <cell r="I831">
            <v>466</v>
          </cell>
          <cell r="J831">
            <v>430</v>
          </cell>
          <cell r="K831">
            <v>444</v>
          </cell>
          <cell r="L831">
            <v>428</v>
          </cell>
          <cell r="M831">
            <v>448</v>
          </cell>
        </row>
        <row r="832">
          <cell r="F832">
            <v>26</v>
          </cell>
          <cell r="G832" t="str">
            <v>Suffolk</v>
          </cell>
          <cell r="H832">
            <v>2855</v>
          </cell>
          <cell r="I832">
            <v>2978</v>
          </cell>
          <cell r="J832">
            <v>2932</v>
          </cell>
          <cell r="K832">
            <v>3026</v>
          </cell>
          <cell r="L832">
            <v>3125</v>
          </cell>
          <cell r="M832">
            <v>2849</v>
          </cell>
        </row>
        <row r="833">
          <cell r="F833">
            <v>27</v>
          </cell>
          <cell r="G833" t="str">
            <v>Sullivan</v>
          </cell>
          <cell r="H833">
            <v>221</v>
          </cell>
          <cell r="I833">
            <v>219</v>
          </cell>
          <cell r="J833">
            <v>232</v>
          </cell>
          <cell r="K833">
            <v>212</v>
          </cell>
          <cell r="L833">
            <v>222</v>
          </cell>
          <cell r="M833">
            <v>217</v>
          </cell>
        </row>
        <row r="834">
          <cell r="F834">
            <v>28</v>
          </cell>
          <cell r="G834" t="str">
            <v>Tompkins-Cortland</v>
          </cell>
          <cell r="H834">
            <v>444</v>
          </cell>
          <cell r="I834">
            <v>448</v>
          </cell>
          <cell r="J834">
            <v>463</v>
          </cell>
          <cell r="K834">
            <v>477</v>
          </cell>
          <cell r="L834">
            <v>520</v>
          </cell>
          <cell r="M834">
            <v>526</v>
          </cell>
        </row>
        <row r="835">
          <cell r="F835">
            <v>29</v>
          </cell>
          <cell r="G835" t="str">
            <v>Ulster</v>
          </cell>
          <cell r="H835">
            <v>374</v>
          </cell>
          <cell r="I835">
            <v>370</v>
          </cell>
          <cell r="J835">
            <v>363</v>
          </cell>
          <cell r="K835">
            <v>374</v>
          </cell>
          <cell r="L835">
            <v>407</v>
          </cell>
          <cell r="M835">
            <v>397</v>
          </cell>
        </row>
        <row r="836">
          <cell r="F836">
            <v>30</v>
          </cell>
          <cell r="G836" t="str">
            <v>Westchester</v>
          </cell>
          <cell r="H836">
            <v>1091</v>
          </cell>
          <cell r="I836">
            <v>885</v>
          </cell>
          <cell r="J836">
            <v>846</v>
          </cell>
          <cell r="K836">
            <v>833</v>
          </cell>
          <cell r="L836">
            <v>889</v>
          </cell>
          <cell r="M836">
            <v>910</v>
          </cell>
        </row>
        <row r="838">
          <cell r="F838">
            <v>0</v>
          </cell>
          <cell r="G838" t="str">
            <v>Community Colleges</v>
          </cell>
          <cell r="H838">
            <v>13817</v>
          </cell>
          <cell r="I838">
            <v>13383</v>
          </cell>
          <cell r="J838">
            <v>13898</v>
          </cell>
          <cell r="K838">
            <v>14103</v>
          </cell>
          <cell r="L838">
            <v>14790</v>
          </cell>
          <cell r="M838">
            <v>15216</v>
          </cell>
        </row>
        <row r="839">
          <cell r="F839">
            <v>1</v>
          </cell>
          <cell r="G839" t="str">
            <v>Adirondack</v>
          </cell>
          <cell r="H839">
            <v>245</v>
          </cell>
          <cell r="I839">
            <v>255</v>
          </cell>
          <cell r="J839">
            <v>237</v>
          </cell>
          <cell r="K839">
            <v>233</v>
          </cell>
          <cell r="L839">
            <v>261</v>
          </cell>
          <cell r="M839">
            <v>269</v>
          </cell>
        </row>
        <row r="840">
          <cell r="F840">
            <v>2</v>
          </cell>
          <cell r="G840" t="str">
            <v>Broome</v>
          </cell>
          <cell r="H840">
            <v>390</v>
          </cell>
          <cell r="I840">
            <v>406</v>
          </cell>
          <cell r="J840">
            <v>426</v>
          </cell>
          <cell r="K840">
            <v>440</v>
          </cell>
          <cell r="L840">
            <v>457</v>
          </cell>
          <cell r="M840">
            <v>453</v>
          </cell>
        </row>
        <row r="841">
          <cell r="F841">
            <v>3</v>
          </cell>
          <cell r="G841" t="str">
            <v>Cayuga</v>
          </cell>
          <cell r="H841">
            <v>270</v>
          </cell>
          <cell r="I841">
            <v>221</v>
          </cell>
          <cell r="J841">
            <v>237</v>
          </cell>
          <cell r="K841">
            <v>215</v>
          </cell>
          <cell r="L841">
            <v>243</v>
          </cell>
          <cell r="M841">
            <v>262</v>
          </cell>
        </row>
        <row r="842">
          <cell r="F842">
            <v>4</v>
          </cell>
          <cell r="G842" t="str">
            <v>Clinton</v>
          </cell>
          <cell r="H842">
            <v>146</v>
          </cell>
          <cell r="I842">
            <v>131</v>
          </cell>
          <cell r="J842">
            <v>130</v>
          </cell>
          <cell r="K842">
            <v>128</v>
          </cell>
          <cell r="L842">
            <v>133</v>
          </cell>
          <cell r="M842">
            <v>133</v>
          </cell>
        </row>
        <row r="843">
          <cell r="F843">
            <v>5</v>
          </cell>
          <cell r="G843" t="str">
            <v>Columbia-Greene</v>
          </cell>
          <cell r="H843">
            <v>110</v>
          </cell>
          <cell r="I843">
            <v>118</v>
          </cell>
          <cell r="J843">
            <v>126</v>
          </cell>
          <cell r="K843">
            <v>130</v>
          </cell>
          <cell r="L843">
            <v>133</v>
          </cell>
          <cell r="M843">
            <v>127</v>
          </cell>
        </row>
        <row r="844">
          <cell r="F844">
            <v>6</v>
          </cell>
          <cell r="G844" t="str">
            <v>Corning</v>
          </cell>
          <cell r="H844">
            <v>253</v>
          </cell>
          <cell r="I844">
            <v>208</v>
          </cell>
          <cell r="J844">
            <v>218</v>
          </cell>
          <cell r="K844">
            <v>216</v>
          </cell>
          <cell r="L844">
            <v>264</v>
          </cell>
          <cell r="M844">
            <v>261</v>
          </cell>
        </row>
        <row r="845">
          <cell r="F845">
            <v>7</v>
          </cell>
          <cell r="G845" t="str">
            <v>Dutchess</v>
          </cell>
          <cell r="H845">
            <v>452</v>
          </cell>
          <cell r="I845">
            <v>429</v>
          </cell>
          <cell r="J845">
            <v>417</v>
          </cell>
          <cell r="K845">
            <v>411</v>
          </cell>
          <cell r="L845">
            <v>449</v>
          </cell>
          <cell r="M845">
            <v>491</v>
          </cell>
        </row>
        <row r="846">
          <cell r="F846">
            <v>8</v>
          </cell>
          <cell r="G846" t="str">
            <v>Erie</v>
          </cell>
          <cell r="H846">
            <v>1476</v>
          </cell>
          <cell r="I846">
            <v>1309</v>
          </cell>
          <cell r="J846">
            <v>1443</v>
          </cell>
          <cell r="K846">
            <v>1519</v>
          </cell>
          <cell r="L846">
            <v>1478</v>
          </cell>
          <cell r="M846">
            <v>1563</v>
          </cell>
        </row>
        <row r="847">
          <cell r="F847">
            <v>9</v>
          </cell>
          <cell r="G847" t="str">
            <v>Fashion Institute</v>
          </cell>
          <cell r="H847">
            <v>958</v>
          </cell>
          <cell r="I847">
            <v>908</v>
          </cell>
          <cell r="J847">
            <v>929</v>
          </cell>
          <cell r="K847">
            <v>989</v>
          </cell>
          <cell r="L847">
            <v>1007</v>
          </cell>
          <cell r="M847">
            <v>1016</v>
          </cell>
        </row>
        <row r="848">
          <cell r="F848">
            <v>10</v>
          </cell>
          <cell r="G848" t="str">
            <v>Finger Lakes</v>
          </cell>
          <cell r="H848">
            <v>280</v>
          </cell>
          <cell r="I848">
            <v>280</v>
          </cell>
          <cell r="J848">
            <v>300</v>
          </cell>
          <cell r="K848">
            <v>313</v>
          </cell>
          <cell r="L848">
            <v>342</v>
          </cell>
          <cell r="M848">
            <v>366</v>
          </cell>
        </row>
        <row r="849">
          <cell r="F849">
            <v>11</v>
          </cell>
          <cell r="G849" t="str">
            <v>Fulton-Montgomery</v>
          </cell>
          <cell r="H849">
            <v>115</v>
          </cell>
          <cell r="I849">
            <v>121</v>
          </cell>
          <cell r="J849">
            <v>120</v>
          </cell>
          <cell r="K849">
            <v>122</v>
          </cell>
          <cell r="L849">
            <v>146</v>
          </cell>
          <cell r="M849">
            <v>168</v>
          </cell>
        </row>
        <row r="850">
          <cell r="F850">
            <v>12</v>
          </cell>
          <cell r="G850" t="str">
            <v>Genesee</v>
          </cell>
          <cell r="H850">
            <v>312</v>
          </cell>
          <cell r="I850">
            <v>316</v>
          </cell>
          <cell r="J850">
            <v>329</v>
          </cell>
          <cell r="K850">
            <v>343</v>
          </cell>
          <cell r="L850">
            <v>342</v>
          </cell>
          <cell r="M850">
            <v>366</v>
          </cell>
        </row>
        <row r="851">
          <cell r="F851">
            <v>13</v>
          </cell>
          <cell r="G851" t="str">
            <v>Herkimer</v>
          </cell>
          <cell r="H851">
            <v>152</v>
          </cell>
          <cell r="I851">
            <v>166</v>
          </cell>
          <cell r="J851">
            <v>164</v>
          </cell>
          <cell r="K851">
            <v>150</v>
          </cell>
          <cell r="L851">
            <v>157</v>
          </cell>
          <cell r="M851">
            <v>131</v>
          </cell>
        </row>
        <row r="852">
          <cell r="F852">
            <v>14</v>
          </cell>
          <cell r="G852" t="str">
            <v>Hudson Valley</v>
          </cell>
          <cell r="H852">
            <v>633</v>
          </cell>
          <cell r="I852">
            <v>651</v>
          </cell>
          <cell r="J852">
            <v>651</v>
          </cell>
          <cell r="K852">
            <v>671</v>
          </cell>
          <cell r="L852">
            <v>718</v>
          </cell>
          <cell r="M852">
            <v>726</v>
          </cell>
        </row>
        <row r="853">
          <cell r="F853">
            <v>15</v>
          </cell>
          <cell r="G853" t="str">
            <v>Jamestown</v>
          </cell>
          <cell r="H853">
            <v>345</v>
          </cell>
          <cell r="I853">
            <v>325</v>
          </cell>
          <cell r="J853">
            <v>336</v>
          </cell>
          <cell r="K853">
            <v>373</v>
          </cell>
          <cell r="L853">
            <v>378</v>
          </cell>
          <cell r="M853">
            <v>414</v>
          </cell>
        </row>
        <row r="854">
          <cell r="F854">
            <v>16</v>
          </cell>
          <cell r="G854" t="str">
            <v>Jefferson</v>
          </cell>
          <cell r="H854">
            <v>188</v>
          </cell>
          <cell r="I854">
            <v>167</v>
          </cell>
          <cell r="J854">
            <v>164</v>
          </cell>
          <cell r="K854">
            <v>175</v>
          </cell>
          <cell r="L854">
            <v>192</v>
          </cell>
          <cell r="M854">
            <v>196</v>
          </cell>
        </row>
        <row r="855">
          <cell r="F855">
            <v>17</v>
          </cell>
          <cell r="G855" t="str">
            <v>Mohawk Valley</v>
          </cell>
          <cell r="H855">
            <v>296</v>
          </cell>
          <cell r="I855">
            <v>297</v>
          </cell>
          <cell r="J855">
            <v>297</v>
          </cell>
          <cell r="K855">
            <v>314</v>
          </cell>
          <cell r="L855">
            <v>356</v>
          </cell>
          <cell r="M855">
            <v>383</v>
          </cell>
        </row>
        <row r="856">
          <cell r="F856">
            <v>18</v>
          </cell>
          <cell r="G856" t="str">
            <v>Monroe</v>
          </cell>
          <cell r="H856">
            <v>981</v>
          </cell>
          <cell r="I856">
            <v>881</v>
          </cell>
          <cell r="J856">
            <v>868</v>
          </cell>
          <cell r="K856">
            <v>901</v>
          </cell>
          <cell r="L856">
            <v>966</v>
          </cell>
          <cell r="M856">
            <v>999</v>
          </cell>
        </row>
        <row r="857">
          <cell r="F857">
            <v>19</v>
          </cell>
          <cell r="G857" t="str">
            <v>Nassau</v>
          </cell>
          <cell r="H857">
            <v>1282</v>
          </cell>
          <cell r="I857">
            <v>1338</v>
          </cell>
          <cell r="J857">
            <v>1343</v>
          </cell>
          <cell r="K857">
            <v>1321</v>
          </cell>
          <cell r="L857">
            <v>1323</v>
          </cell>
          <cell r="M857">
            <v>1281</v>
          </cell>
        </row>
        <row r="858">
          <cell r="F858">
            <v>20</v>
          </cell>
          <cell r="G858" t="str">
            <v>Niagara</v>
          </cell>
          <cell r="H858">
            <v>437</v>
          </cell>
          <cell r="I858">
            <v>445</v>
          </cell>
          <cell r="J858">
            <v>475</v>
          </cell>
          <cell r="K858">
            <v>510</v>
          </cell>
          <cell r="L858">
            <v>488</v>
          </cell>
          <cell r="M858">
            <v>448</v>
          </cell>
        </row>
        <row r="859">
          <cell r="F859">
            <v>21</v>
          </cell>
          <cell r="G859" t="str">
            <v>North Country</v>
          </cell>
          <cell r="H859">
            <v>97</v>
          </cell>
          <cell r="I859">
            <v>127</v>
          </cell>
          <cell r="J859">
            <v>182</v>
          </cell>
          <cell r="K859">
            <v>104</v>
          </cell>
          <cell r="L859">
            <v>120</v>
          </cell>
          <cell r="M859">
            <v>124</v>
          </cell>
        </row>
        <row r="860">
          <cell r="F860">
            <v>22</v>
          </cell>
          <cell r="G860" t="str">
            <v>Onondaga</v>
          </cell>
          <cell r="H860">
            <v>499</v>
          </cell>
          <cell r="I860">
            <v>546</v>
          </cell>
          <cell r="J860">
            <v>570</v>
          </cell>
          <cell r="K860">
            <v>582</v>
          </cell>
          <cell r="L860">
            <v>647</v>
          </cell>
          <cell r="M860">
            <v>684</v>
          </cell>
        </row>
        <row r="861">
          <cell r="F861">
            <v>23</v>
          </cell>
          <cell r="G861" t="str">
            <v>Orange</v>
          </cell>
          <cell r="H861">
            <v>352</v>
          </cell>
          <cell r="I861">
            <v>407</v>
          </cell>
          <cell r="J861">
            <v>534</v>
          </cell>
          <cell r="K861">
            <v>481</v>
          </cell>
          <cell r="L861">
            <v>568</v>
          </cell>
          <cell r="M861">
            <v>621</v>
          </cell>
        </row>
        <row r="862">
          <cell r="F862">
            <v>24</v>
          </cell>
          <cell r="G862" t="str">
            <v>Rockland</v>
          </cell>
          <cell r="H862">
            <v>574</v>
          </cell>
          <cell r="I862">
            <v>577</v>
          </cell>
          <cell r="J862">
            <v>646</v>
          </cell>
          <cell r="K862">
            <v>715</v>
          </cell>
          <cell r="L862">
            <v>702</v>
          </cell>
          <cell r="M862">
            <v>819</v>
          </cell>
        </row>
        <row r="863">
          <cell r="F863">
            <v>25</v>
          </cell>
          <cell r="G863" t="str">
            <v>Schenectady</v>
          </cell>
          <cell r="H863">
            <v>219</v>
          </cell>
          <cell r="I863">
            <v>213</v>
          </cell>
          <cell r="J863">
            <v>210</v>
          </cell>
          <cell r="K863">
            <v>208</v>
          </cell>
          <cell r="L863">
            <v>214</v>
          </cell>
          <cell r="M863">
            <v>243</v>
          </cell>
        </row>
        <row r="864">
          <cell r="F864">
            <v>26</v>
          </cell>
          <cell r="G864" t="str">
            <v>Suffolk</v>
          </cell>
          <cell r="H864">
            <v>1461</v>
          </cell>
          <cell r="I864">
            <v>1485</v>
          </cell>
          <cell r="J864">
            <v>1479</v>
          </cell>
          <cell r="K864">
            <v>1495</v>
          </cell>
          <cell r="L864">
            <v>1609</v>
          </cell>
          <cell r="M864">
            <v>1512</v>
          </cell>
        </row>
        <row r="865">
          <cell r="F865">
            <v>27</v>
          </cell>
          <cell r="G865" t="str">
            <v>Sullivan</v>
          </cell>
          <cell r="H865">
            <v>118</v>
          </cell>
          <cell r="I865">
            <v>98</v>
          </cell>
          <cell r="J865">
            <v>113</v>
          </cell>
          <cell r="K865">
            <v>100</v>
          </cell>
          <cell r="L865">
            <v>104</v>
          </cell>
          <cell r="M865">
            <v>109</v>
          </cell>
        </row>
        <row r="866">
          <cell r="F866">
            <v>28</v>
          </cell>
          <cell r="G866" t="str">
            <v>Tompkins-Cortland</v>
          </cell>
          <cell r="H866">
            <v>279</v>
          </cell>
          <cell r="I866">
            <v>275</v>
          </cell>
          <cell r="J866">
            <v>284</v>
          </cell>
          <cell r="K866">
            <v>280</v>
          </cell>
          <cell r="L866">
            <v>312</v>
          </cell>
          <cell r="M866">
            <v>324</v>
          </cell>
        </row>
        <row r="867">
          <cell r="F867">
            <v>29</v>
          </cell>
          <cell r="G867" t="str">
            <v>Ulster</v>
          </cell>
          <cell r="H867">
            <v>192</v>
          </cell>
          <cell r="I867">
            <v>186</v>
          </cell>
          <cell r="J867">
            <v>184</v>
          </cell>
          <cell r="K867">
            <v>186</v>
          </cell>
          <cell r="L867">
            <v>198</v>
          </cell>
          <cell r="M867">
            <v>203</v>
          </cell>
        </row>
        <row r="868">
          <cell r="F868">
            <v>30</v>
          </cell>
          <cell r="G868" t="str">
            <v>Westchester</v>
          </cell>
          <cell r="H868">
            <v>705</v>
          </cell>
          <cell r="I868">
            <v>497</v>
          </cell>
          <cell r="J868">
            <v>486</v>
          </cell>
          <cell r="K868">
            <v>478</v>
          </cell>
          <cell r="L868">
            <v>483</v>
          </cell>
          <cell r="M868">
            <v>524</v>
          </cell>
        </row>
        <row r="870">
          <cell r="F870">
            <v>0</v>
          </cell>
          <cell r="G870" t="str">
            <v>Community Colleges</v>
          </cell>
          <cell r="H870">
            <v>0.32080778939776416</v>
          </cell>
          <cell r="I870">
            <v>0.3307180751699918</v>
          </cell>
          <cell r="J870">
            <v>0.31903871060584255</v>
          </cell>
          <cell r="K870">
            <v>0.31433028433666593</v>
          </cell>
          <cell r="L870">
            <v>0.30412440838404325</v>
          </cell>
          <cell r="M870">
            <v>0.29324395373291273</v>
          </cell>
        </row>
        <row r="871">
          <cell r="F871">
            <v>1</v>
          </cell>
          <cell r="G871" t="str">
            <v>Adirondack</v>
          </cell>
          <cell r="H871">
            <v>0.40816326530612246</v>
          </cell>
          <cell r="I871">
            <v>0.39215686274509803</v>
          </cell>
          <cell r="J871">
            <v>0.3881856540084388</v>
          </cell>
          <cell r="K871">
            <v>0.3905579399141631</v>
          </cell>
          <cell r="L871">
            <v>0.34865900383141762</v>
          </cell>
          <cell r="M871">
            <v>0.34200743494423791</v>
          </cell>
        </row>
        <row r="872">
          <cell r="F872">
            <v>2</v>
          </cell>
          <cell r="G872" t="str">
            <v>Broome</v>
          </cell>
          <cell r="H872">
            <v>0.46410256410256412</v>
          </cell>
          <cell r="I872">
            <v>0.41379310344827586</v>
          </cell>
          <cell r="J872">
            <v>0.38732394366197181</v>
          </cell>
          <cell r="K872">
            <v>0.36590909090909091</v>
          </cell>
          <cell r="L872">
            <v>0.3610503282275711</v>
          </cell>
          <cell r="M872">
            <v>0.36644591611479027</v>
          </cell>
        </row>
        <row r="873">
          <cell r="F873">
            <v>3</v>
          </cell>
          <cell r="G873" t="str">
            <v>Cayuga</v>
          </cell>
          <cell r="H873">
            <v>0.25185185185185183</v>
          </cell>
          <cell r="I873">
            <v>0.32126696832579188</v>
          </cell>
          <cell r="J873">
            <v>0.30801687763713081</v>
          </cell>
          <cell r="K873">
            <v>0.33488372093023255</v>
          </cell>
          <cell r="L873">
            <v>0.29218106995884774</v>
          </cell>
          <cell r="M873">
            <v>0.22519083969465647</v>
          </cell>
        </row>
        <row r="874">
          <cell r="F874">
            <v>4</v>
          </cell>
          <cell r="G874" t="str">
            <v>Clinton</v>
          </cell>
          <cell r="H874">
            <v>0.36986301369863012</v>
          </cell>
          <cell r="I874">
            <v>0.40458015267175573</v>
          </cell>
          <cell r="J874">
            <v>0.4</v>
          </cell>
          <cell r="K874">
            <v>0.40625</v>
          </cell>
          <cell r="L874">
            <v>0.41353383458646614</v>
          </cell>
          <cell r="M874">
            <v>0.39849624060150374</v>
          </cell>
        </row>
        <row r="875">
          <cell r="F875">
            <v>5</v>
          </cell>
          <cell r="G875" t="str">
            <v>Columbia-Greene</v>
          </cell>
          <cell r="H875">
            <v>0.45454545454545453</v>
          </cell>
          <cell r="I875">
            <v>0.38983050847457629</v>
          </cell>
          <cell r="J875">
            <v>0.40476190476190477</v>
          </cell>
          <cell r="K875">
            <v>0.34615384615384615</v>
          </cell>
          <cell r="L875">
            <v>0.36090225563909772</v>
          </cell>
          <cell r="M875">
            <v>0.38582677165354329</v>
          </cell>
        </row>
        <row r="876">
          <cell r="F876">
            <v>6</v>
          </cell>
          <cell r="G876" t="str">
            <v>Corning</v>
          </cell>
          <cell r="H876">
            <v>0.38735177865612647</v>
          </cell>
          <cell r="I876">
            <v>0.48557692307692307</v>
          </cell>
          <cell r="J876">
            <v>0.46788990825688076</v>
          </cell>
          <cell r="K876">
            <v>0.43055555555555558</v>
          </cell>
          <cell r="L876">
            <v>0.36742424242424243</v>
          </cell>
          <cell r="M876">
            <v>0.37931034482758619</v>
          </cell>
        </row>
        <row r="877">
          <cell r="F877">
            <v>7</v>
          </cell>
          <cell r="G877" t="str">
            <v>Dutchess</v>
          </cell>
          <cell r="H877">
            <v>0.30088495575221241</v>
          </cell>
          <cell r="I877">
            <v>0.31934731934731936</v>
          </cell>
          <cell r="J877">
            <v>0.32374100719424459</v>
          </cell>
          <cell r="K877">
            <v>0.31873479318734793</v>
          </cell>
          <cell r="L877">
            <v>0.28507795100222716</v>
          </cell>
          <cell r="M877">
            <v>0.26680244399185338</v>
          </cell>
        </row>
        <row r="878">
          <cell r="F878">
            <v>8</v>
          </cell>
          <cell r="G878" t="str">
            <v>Erie</v>
          </cell>
          <cell r="H878">
            <v>0.23373983739837398</v>
          </cell>
          <cell r="I878">
            <v>0.27043544690603516</v>
          </cell>
          <cell r="J878">
            <v>0.25086625086625086</v>
          </cell>
          <cell r="K878">
            <v>0.24094799210006584</v>
          </cell>
          <cell r="L878">
            <v>0.25033829499323412</v>
          </cell>
          <cell r="M878">
            <v>0.22648752399232247</v>
          </cell>
        </row>
        <row r="879">
          <cell r="F879">
            <v>9</v>
          </cell>
          <cell r="G879" t="str">
            <v>Fashion Institute</v>
          </cell>
          <cell r="H879">
            <v>0.21920668058455114</v>
          </cell>
          <cell r="I879">
            <v>0.22907488986784141</v>
          </cell>
          <cell r="J879">
            <v>0.25296017222820238</v>
          </cell>
          <cell r="K879">
            <v>0.24671385237613752</v>
          </cell>
          <cell r="L879">
            <v>0.2512413108242304</v>
          </cell>
          <cell r="M879">
            <v>0.24507874015748032</v>
          </cell>
        </row>
        <row r="880">
          <cell r="F880">
            <v>10</v>
          </cell>
          <cell r="G880" t="str">
            <v>Finger Lakes</v>
          </cell>
          <cell r="H880">
            <v>0.38928571428571429</v>
          </cell>
          <cell r="I880">
            <v>0.38928571428571429</v>
          </cell>
          <cell r="J880">
            <v>0.37333333333333335</v>
          </cell>
          <cell r="K880">
            <v>0.35782747603833864</v>
          </cell>
          <cell r="L880">
            <v>0.32748538011695905</v>
          </cell>
          <cell r="M880">
            <v>0.33060109289617484</v>
          </cell>
        </row>
        <row r="881">
          <cell r="F881">
            <v>11</v>
          </cell>
          <cell r="G881" t="str">
            <v>Fulton-Montgomery</v>
          </cell>
          <cell r="H881">
            <v>0.46086956521739131</v>
          </cell>
          <cell r="I881">
            <v>0.42975206611570249</v>
          </cell>
          <cell r="J881">
            <v>0.45</v>
          </cell>
          <cell r="K881">
            <v>0.45901639344262296</v>
          </cell>
          <cell r="L881">
            <v>0.3904109589041096</v>
          </cell>
          <cell r="M881">
            <v>0.32738095238095238</v>
          </cell>
        </row>
        <row r="882">
          <cell r="F882">
            <v>12</v>
          </cell>
          <cell r="G882" t="str">
            <v>Genesee</v>
          </cell>
          <cell r="H882">
            <v>0.23717948717948717</v>
          </cell>
          <cell r="I882">
            <v>0.24050632911392406</v>
          </cell>
          <cell r="J882">
            <v>0.23404255319148937</v>
          </cell>
          <cell r="K882">
            <v>0.23615160349854228</v>
          </cell>
          <cell r="L882">
            <v>0.23976608187134502</v>
          </cell>
          <cell r="M882">
            <v>0.22404371584699453</v>
          </cell>
        </row>
        <row r="883">
          <cell r="F883">
            <v>13</v>
          </cell>
          <cell r="G883" t="str">
            <v>Herkimer</v>
          </cell>
          <cell r="H883">
            <v>0.53289473684210531</v>
          </cell>
          <cell r="I883">
            <v>0.5</v>
          </cell>
          <cell r="J883">
            <v>0.47560975609756095</v>
          </cell>
          <cell r="K883">
            <v>0.5</v>
          </cell>
          <cell r="L883">
            <v>0.48407643312101911</v>
          </cell>
          <cell r="M883">
            <v>0.5725190839694656</v>
          </cell>
        </row>
        <row r="884">
          <cell r="F884">
            <v>14</v>
          </cell>
          <cell r="G884" t="str">
            <v>Hudson Valley</v>
          </cell>
          <cell r="H884">
            <v>0.41390205371248023</v>
          </cell>
          <cell r="I884">
            <v>0.41781874039938555</v>
          </cell>
          <cell r="J884">
            <v>0.41628264208909371</v>
          </cell>
          <cell r="K884">
            <v>0.4068554396423249</v>
          </cell>
          <cell r="L884">
            <v>0.39832869080779942</v>
          </cell>
          <cell r="M884">
            <v>0.38980716253443526</v>
          </cell>
        </row>
        <row r="885">
          <cell r="F885">
            <v>15</v>
          </cell>
          <cell r="G885" t="str">
            <v>Jamestown</v>
          </cell>
          <cell r="H885">
            <v>0.24057971014492754</v>
          </cell>
          <cell r="I885">
            <v>0.24923076923076923</v>
          </cell>
          <cell r="J885">
            <v>0.23511904761904762</v>
          </cell>
          <cell r="K885">
            <v>0.21447721179624665</v>
          </cell>
          <cell r="L885">
            <v>0.21428571428571427</v>
          </cell>
          <cell r="M885">
            <v>0.20048309178743962</v>
          </cell>
        </row>
        <row r="886">
          <cell r="F886">
            <v>16</v>
          </cell>
          <cell r="G886" t="str">
            <v>Jefferson</v>
          </cell>
          <cell r="H886">
            <v>0.41489361702127658</v>
          </cell>
          <cell r="I886">
            <v>0.44910179640718562</v>
          </cell>
          <cell r="J886">
            <v>0.45121951219512196</v>
          </cell>
          <cell r="K886">
            <v>0.44</v>
          </cell>
          <cell r="L886">
            <v>0.40104166666666669</v>
          </cell>
          <cell r="M886">
            <v>0.39285714285714285</v>
          </cell>
        </row>
        <row r="887">
          <cell r="F887">
            <v>17</v>
          </cell>
          <cell r="G887" t="str">
            <v>Mohawk Valley</v>
          </cell>
          <cell r="H887">
            <v>0.45945945945945948</v>
          </cell>
          <cell r="I887">
            <v>0.46127946127946129</v>
          </cell>
          <cell r="J887">
            <v>0.4713804713804714</v>
          </cell>
          <cell r="K887">
            <v>0.4426751592356688</v>
          </cell>
          <cell r="L887">
            <v>0.3848314606741573</v>
          </cell>
          <cell r="M887">
            <v>0.37597911227154046</v>
          </cell>
        </row>
        <row r="888">
          <cell r="F888">
            <v>18</v>
          </cell>
          <cell r="G888" t="str">
            <v>Monroe</v>
          </cell>
          <cell r="H888">
            <v>0.31702344546381245</v>
          </cell>
          <cell r="I888">
            <v>0.35300794551645859</v>
          </cell>
          <cell r="J888">
            <v>0.35483870967741937</v>
          </cell>
          <cell r="K888">
            <v>0.35183129855715872</v>
          </cell>
          <cell r="L888">
            <v>0.34782608695652173</v>
          </cell>
          <cell r="M888">
            <v>0.34134134134134136</v>
          </cell>
        </row>
        <row r="889">
          <cell r="F889">
            <v>19</v>
          </cell>
          <cell r="G889" t="str">
            <v>Nassau</v>
          </cell>
          <cell r="H889">
            <v>0.47035881435257409</v>
          </cell>
          <cell r="I889">
            <v>0.45067264573991034</v>
          </cell>
          <cell r="J889">
            <v>0.46016381236038717</v>
          </cell>
          <cell r="K889">
            <v>0.46328538985616957</v>
          </cell>
          <cell r="L889">
            <v>0.46712018140589567</v>
          </cell>
          <cell r="M889">
            <v>0.46682279469164717</v>
          </cell>
        </row>
        <row r="890">
          <cell r="F890">
            <v>20</v>
          </cell>
          <cell r="G890" t="str">
            <v>Niagara</v>
          </cell>
          <cell r="H890">
            <v>0.28832951945080093</v>
          </cell>
          <cell r="I890">
            <v>0.26292134831460673</v>
          </cell>
          <cell r="J890">
            <v>0.25263157894736843</v>
          </cell>
          <cell r="K890">
            <v>0.23333333333333334</v>
          </cell>
          <cell r="L890">
            <v>0.23565573770491804</v>
          </cell>
          <cell r="M890">
            <v>0.25223214285714285</v>
          </cell>
        </row>
        <row r="891">
          <cell r="F891">
            <v>21</v>
          </cell>
          <cell r="G891" t="str">
            <v>North Country</v>
          </cell>
          <cell r="H891">
            <v>0.47422680412371132</v>
          </cell>
          <cell r="I891">
            <v>0.40157480314960631</v>
          </cell>
          <cell r="J891">
            <v>0.2857142857142857</v>
          </cell>
          <cell r="K891">
            <v>0.46153846153846156</v>
          </cell>
          <cell r="L891">
            <v>0.35</v>
          </cell>
          <cell r="M891">
            <v>0.36290322580645162</v>
          </cell>
        </row>
        <row r="892">
          <cell r="F892">
            <v>22</v>
          </cell>
          <cell r="G892" t="str">
            <v>Onondaga</v>
          </cell>
          <cell r="H892">
            <v>0.32064128256513025</v>
          </cell>
          <cell r="I892">
            <v>0.28754578754578752</v>
          </cell>
          <cell r="J892">
            <v>0.28596491228070176</v>
          </cell>
          <cell r="K892">
            <v>0.27835051546391754</v>
          </cell>
          <cell r="L892">
            <v>0.25811437403400311</v>
          </cell>
          <cell r="M892">
            <v>0.25730994152046782</v>
          </cell>
        </row>
        <row r="893">
          <cell r="F893">
            <v>23</v>
          </cell>
          <cell r="G893" t="str">
            <v>Orange</v>
          </cell>
          <cell r="H893">
            <v>0.38636363636363635</v>
          </cell>
          <cell r="I893">
            <v>0.34889434889434889</v>
          </cell>
          <cell r="J893">
            <v>0.26779026217228463</v>
          </cell>
          <cell r="K893">
            <v>0.29313929313929316</v>
          </cell>
          <cell r="L893">
            <v>0.26056338028169013</v>
          </cell>
          <cell r="M893">
            <v>0.23671497584541062</v>
          </cell>
        </row>
        <row r="894">
          <cell r="F894">
            <v>24</v>
          </cell>
          <cell r="G894" t="str">
            <v>Rockland</v>
          </cell>
          <cell r="H894">
            <v>0.24216027874564461</v>
          </cell>
          <cell r="I894">
            <v>0.20970537261698441</v>
          </cell>
          <cell r="J894">
            <v>0.17182662538699692</v>
          </cell>
          <cell r="K894">
            <v>0.16223776223776223</v>
          </cell>
          <cell r="L894">
            <v>0.16381766381766383</v>
          </cell>
          <cell r="M894">
            <v>0.14652014652014653</v>
          </cell>
        </row>
        <row r="895">
          <cell r="F895">
            <v>25</v>
          </cell>
          <cell r="G895" t="str">
            <v>Schenectady</v>
          </cell>
          <cell r="H895">
            <v>0.31506849315068491</v>
          </cell>
          <cell r="I895">
            <v>0.31924882629107981</v>
          </cell>
          <cell r="J895">
            <v>0.32380952380952382</v>
          </cell>
          <cell r="K895">
            <v>0.32692307692307693</v>
          </cell>
          <cell r="L895">
            <v>0.30841121495327101</v>
          </cell>
          <cell r="M895">
            <v>0.27160493827160492</v>
          </cell>
        </row>
        <row r="896">
          <cell r="F896">
            <v>26</v>
          </cell>
          <cell r="G896" t="str">
            <v>Suffolk</v>
          </cell>
          <cell r="H896">
            <v>0.26694045174537989</v>
          </cell>
          <cell r="I896">
            <v>0.27205387205387205</v>
          </cell>
          <cell r="J896">
            <v>0.24002704530087898</v>
          </cell>
          <cell r="K896">
            <v>0.23143812709030101</v>
          </cell>
          <cell r="L896">
            <v>0.2113113735239279</v>
          </cell>
          <cell r="M896">
            <v>0.21560846560846561</v>
          </cell>
        </row>
        <row r="897">
          <cell r="F897">
            <v>27</v>
          </cell>
          <cell r="G897" t="str">
            <v>Sullivan</v>
          </cell>
          <cell r="H897">
            <v>0.44915254237288138</v>
          </cell>
          <cell r="I897">
            <v>0.38775510204081631</v>
          </cell>
          <cell r="J897">
            <v>0.4247787610619469</v>
          </cell>
          <cell r="K897">
            <v>0.5</v>
          </cell>
          <cell r="L897">
            <v>0.44230769230769229</v>
          </cell>
          <cell r="M897">
            <v>0.47706422018348627</v>
          </cell>
        </row>
        <row r="898">
          <cell r="F898">
            <v>28</v>
          </cell>
          <cell r="G898" t="str">
            <v>Tompkins-Cortland</v>
          </cell>
          <cell r="H898">
            <v>0.24731182795698925</v>
          </cell>
          <cell r="I898">
            <v>0.23636363636363636</v>
          </cell>
          <cell r="J898">
            <v>0.23239436619718309</v>
          </cell>
          <cell r="K898">
            <v>0.25357142857142856</v>
          </cell>
          <cell r="L898">
            <v>0.24358974358974358</v>
          </cell>
          <cell r="M898">
            <v>0.22222222222222221</v>
          </cell>
        </row>
        <row r="899">
          <cell r="F899">
            <v>29</v>
          </cell>
          <cell r="G899" t="str">
            <v>Ulster</v>
          </cell>
          <cell r="H899">
            <v>0.35416666666666669</v>
          </cell>
          <cell r="I899">
            <v>0.34946236559139787</v>
          </cell>
          <cell r="J899">
            <v>0.35326086956521741</v>
          </cell>
          <cell r="K899">
            <v>0.36559139784946237</v>
          </cell>
          <cell r="L899">
            <v>0.34848484848484851</v>
          </cell>
          <cell r="M899">
            <v>0.33497536945812806</v>
          </cell>
        </row>
        <row r="900">
          <cell r="F900">
            <v>30</v>
          </cell>
          <cell r="G900" t="str">
            <v>Westchester</v>
          </cell>
          <cell r="H900">
            <v>0.22127659574468084</v>
          </cell>
          <cell r="I900">
            <v>0.323943661971831</v>
          </cell>
          <cell r="J900">
            <v>0.33950617283950618</v>
          </cell>
          <cell r="K900">
            <v>0.34937238493723849</v>
          </cell>
          <cell r="L900">
            <v>0.36024844720496896</v>
          </cell>
          <cell r="M900">
            <v>0.31679389312977096</v>
          </cell>
        </row>
        <row r="902">
          <cell r="F902">
            <v>0</v>
          </cell>
          <cell r="G902" t="str">
            <v>Community Colleges</v>
          </cell>
          <cell r="H902">
            <v>0.587402703809914</v>
          </cell>
          <cell r="I902">
            <v>0.57896739057890734</v>
          </cell>
          <cell r="J902">
            <v>0.58340193218262881</v>
          </cell>
          <cell r="K902">
            <v>0.57080170929268448</v>
          </cell>
          <cell r="L902">
            <v>0.54616247530491924</v>
          </cell>
          <cell r="M902" t="str">
            <v>N/A</v>
          </cell>
        </row>
        <row r="903">
          <cell r="F903">
            <v>1</v>
          </cell>
          <cell r="G903" t="str">
            <v>Adirondack</v>
          </cell>
          <cell r="H903">
            <v>0.7364016736401674</v>
          </cell>
          <cell r="I903">
            <v>0.70571658615136879</v>
          </cell>
          <cell r="J903">
            <v>0.74112734864300622</v>
          </cell>
          <cell r="K903">
            <v>0.77158199091284596</v>
          </cell>
          <cell r="L903">
            <v>0.64921846601235911</v>
          </cell>
          <cell r="M903" t="str">
            <v>N/A</v>
          </cell>
        </row>
        <row r="904">
          <cell r="F904">
            <v>2</v>
          </cell>
          <cell r="G904" t="str">
            <v>Broome</v>
          </cell>
          <cell r="H904">
            <v>0.54001739886907352</v>
          </cell>
          <cell r="I904">
            <v>0.53007113602069411</v>
          </cell>
          <cell r="J904">
            <v>0.52993029930299307</v>
          </cell>
          <cell r="K904">
            <v>0.51995947315096247</v>
          </cell>
          <cell r="L904">
            <v>0.51991654021244305</v>
          </cell>
          <cell r="M904" t="str">
            <v>N/A</v>
          </cell>
        </row>
        <row r="905">
          <cell r="F905">
            <v>3</v>
          </cell>
          <cell r="G905" t="str">
            <v>Cayuga</v>
          </cell>
          <cell r="H905">
            <v>0.44</v>
          </cell>
          <cell r="I905">
            <v>0.42664092664092662</v>
          </cell>
          <cell r="J905">
            <v>0.37805810397553519</v>
          </cell>
          <cell r="K905">
            <v>0.52461599054745967</v>
          </cell>
          <cell r="L905">
            <v>0.40992414664981036</v>
          </cell>
          <cell r="M905" t="str">
            <v>N/A</v>
          </cell>
        </row>
        <row r="906">
          <cell r="F906">
            <v>4</v>
          </cell>
          <cell r="G906" t="str">
            <v>Clinton</v>
          </cell>
          <cell r="H906">
            <v>0.52344251766217087</v>
          </cell>
          <cell r="I906">
            <v>0.56387959866220738</v>
          </cell>
          <cell r="J906">
            <v>0.54242002781641163</v>
          </cell>
          <cell r="K906">
            <v>0.6376811594202898</v>
          </cell>
          <cell r="L906">
            <v>0.54981320049813198</v>
          </cell>
          <cell r="M906" t="str">
            <v>N/A</v>
          </cell>
        </row>
        <row r="907">
          <cell r="F907">
            <v>5</v>
          </cell>
          <cell r="G907" t="str">
            <v>Columbia-Greene</v>
          </cell>
          <cell r="H907">
            <v>0.67060810810810811</v>
          </cell>
          <cell r="I907">
            <v>0.65711947626841238</v>
          </cell>
          <cell r="J907">
            <v>0.71958098307816276</v>
          </cell>
          <cell r="K907">
            <v>0.61674718196457323</v>
          </cell>
          <cell r="L907">
            <v>0.60413694721825961</v>
          </cell>
          <cell r="M907" t="str">
            <v>N/A</v>
          </cell>
        </row>
        <row r="908">
          <cell r="F908">
            <v>6</v>
          </cell>
          <cell r="G908" t="str">
            <v>Corning</v>
          </cell>
          <cell r="H908">
            <v>0.51895043731778423</v>
          </cell>
          <cell r="I908">
            <v>0.55498392282958198</v>
          </cell>
          <cell r="J908">
            <v>0.51812499999999995</v>
          </cell>
          <cell r="K908">
            <v>0.49602446483180429</v>
          </cell>
          <cell r="L908">
            <v>0.48702830188679247</v>
          </cell>
          <cell r="M908" t="str">
            <v>N/A</v>
          </cell>
        </row>
        <row r="909">
          <cell r="F909">
            <v>7</v>
          </cell>
          <cell r="G909" t="str">
            <v>Dutchess</v>
          </cell>
          <cell r="H909">
            <v>0.55697896749521991</v>
          </cell>
          <cell r="I909">
            <v>0.58492017695710719</v>
          </cell>
          <cell r="J909">
            <v>0.6130239520958084</v>
          </cell>
          <cell r="K909">
            <v>0.55999273915411141</v>
          </cell>
          <cell r="L909">
            <v>0.52992724867724872</v>
          </cell>
          <cell r="M909" t="str">
            <v>N/A</v>
          </cell>
        </row>
        <row r="910">
          <cell r="F910">
            <v>8</v>
          </cell>
          <cell r="G910" t="str">
            <v>Erie</v>
          </cell>
          <cell r="H910">
            <v>0.7567567567567568</v>
          </cell>
          <cell r="I910">
            <v>0.69470311404826279</v>
          </cell>
          <cell r="J910">
            <v>0.69470311404826279</v>
          </cell>
          <cell r="K910">
            <v>0.69470311404826279</v>
          </cell>
          <cell r="L910">
            <v>0.69470311404826279</v>
          </cell>
          <cell r="M910" t="str">
            <v>N/A</v>
          </cell>
        </row>
        <row r="911">
          <cell r="F911">
            <v>9</v>
          </cell>
          <cell r="G911" t="str">
            <v>Fashion Institute</v>
          </cell>
          <cell r="H911">
            <v>0.33608815426997246</v>
          </cell>
          <cell r="I911">
            <v>0.32011711601805537</v>
          </cell>
          <cell r="J911">
            <v>0.38967476725909805</v>
          </cell>
          <cell r="K911">
            <v>0.39248334919124644</v>
          </cell>
          <cell r="L911">
            <v>0.40918415292405369</v>
          </cell>
          <cell r="M911" t="str">
            <v>N/A</v>
          </cell>
        </row>
        <row r="912">
          <cell r="F912">
            <v>10</v>
          </cell>
          <cell r="G912" t="str">
            <v>Finger Lakes</v>
          </cell>
          <cell r="H912">
            <v>0.58634294385432473</v>
          </cell>
          <cell r="I912">
            <v>0.56086828982106185</v>
          </cell>
          <cell r="J912">
            <v>0.5221140472878999</v>
          </cell>
          <cell r="K912">
            <v>0.5071905495634309</v>
          </cell>
          <cell r="L912">
            <v>0.46850393700787402</v>
          </cell>
          <cell r="M912" t="str">
            <v>N/A</v>
          </cell>
        </row>
        <row r="913">
          <cell r="F913">
            <v>11</v>
          </cell>
          <cell r="G913" t="str">
            <v>Fulton-Montgomery</v>
          </cell>
          <cell r="H913">
            <v>0.73023536511768261</v>
          </cell>
          <cell r="I913">
            <v>0.72438585979628523</v>
          </cell>
          <cell r="J913">
            <v>0.72742857142857142</v>
          </cell>
          <cell r="K913">
            <v>0.29967948717948717</v>
          </cell>
          <cell r="L913">
            <v>0.69445856634468739</v>
          </cell>
          <cell r="M913" t="str">
            <v>N/A</v>
          </cell>
        </row>
        <row r="914">
          <cell r="F914">
            <v>12</v>
          </cell>
          <cell r="G914" t="str">
            <v>Genesee</v>
          </cell>
          <cell r="H914">
            <v>0.40287769784172661</v>
          </cell>
          <cell r="I914">
            <v>0.36690827293176703</v>
          </cell>
          <cell r="J914">
            <v>0.39445415938046463</v>
          </cell>
          <cell r="K914">
            <v>0.40965018094089262</v>
          </cell>
          <cell r="L914">
            <v>0.40577777777777779</v>
          </cell>
          <cell r="M914" t="str">
            <v>N/A</v>
          </cell>
        </row>
        <row r="915">
          <cell r="F915">
            <v>13</v>
          </cell>
          <cell r="G915" t="str">
            <v>Herkimer</v>
          </cell>
          <cell r="H915">
            <v>0.72014652014652014</v>
          </cell>
          <cell r="I915">
            <v>0.72962533796832751</v>
          </cell>
          <cell r="J915">
            <v>0.75</v>
          </cell>
          <cell r="K915">
            <v>0.75017895490336439</v>
          </cell>
          <cell r="L915">
            <v>0.76017316017316017</v>
          </cell>
          <cell r="M915" t="str">
            <v>N/A</v>
          </cell>
        </row>
        <row r="916">
          <cell r="F916">
            <v>14</v>
          </cell>
          <cell r="G916" t="str">
            <v>Hudson Valley</v>
          </cell>
          <cell r="H916">
            <v>0.65018645495007821</v>
          </cell>
          <cell r="I916">
            <v>0.65018645495007821</v>
          </cell>
          <cell r="J916">
            <v>0.64000465711957155</v>
          </cell>
          <cell r="K916">
            <v>0.65</v>
          </cell>
          <cell r="L916">
            <v>0.64982361485785434</v>
          </cell>
          <cell r="M916" t="str">
            <v>N/A</v>
          </cell>
        </row>
        <row r="917">
          <cell r="F917">
            <v>15</v>
          </cell>
          <cell r="G917" t="str">
            <v>Jamestown</v>
          </cell>
          <cell r="H917">
            <v>0.49169075144508673</v>
          </cell>
          <cell r="I917">
            <v>0.43996157540826131</v>
          </cell>
          <cell r="J917">
            <v>0.48066511987625676</v>
          </cell>
          <cell r="K917">
            <v>0.4324614833393049</v>
          </cell>
          <cell r="L917">
            <v>0.38019693654266956</v>
          </cell>
          <cell r="M917" t="str">
            <v>N/A</v>
          </cell>
        </row>
        <row r="918">
          <cell r="F918">
            <v>16</v>
          </cell>
          <cell r="G918" t="str">
            <v>Jefferson</v>
          </cell>
          <cell r="H918">
            <v>0.72190642763445567</v>
          </cell>
          <cell r="I918">
            <v>0.75380359612724757</v>
          </cell>
          <cell r="J918">
            <v>0.78525046382189234</v>
          </cell>
          <cell r="K918">
            <v>0.65494608532583221</v>
          </cell>
          <cell r="L918">
            <v>0.63930976430976427</v>
          </cell>
          <cell r="M918" t="str">
            <v>N/A</v>
          </cell>
        </row>
        <row r="919">
          <cell r="F919">
            <v>17</v>
          </cell>
          <cell r="G919" t="str">
            <v>Mohawk Valley</v>
          </cell>
          <cell r="H919">
            <v>0.73798932384341642</v>
          </cell>
          <cell r="I919">
            <v>0.71001124859392573</v>
          </cell>
          <cell r="J919">
            <v>0.72998673153471916</v>
          </cell>
          <cell r="K919">
            <v>0.6841650464463167</v>
          </cell>
          <cell r="L919">
            <v>0.65535956580732702</v>
          </cell>
          <cell r="M919" t="str">
            <v>N/A</v>
          </cell>
        </row>
        <row r="920">
          <cell r="F920">
            <v>18</v>
          </cell>
          <cell r="G920" t="str">
            <v>Monroe</v>
          </cell>
          <cell r="H920">
            <v>0.5744178472561472</v>
          </cell>
          <cell r="I920">
            <v>0.61453527943734398</v>
          </cell>
          <cell r="J920">
            <v>0.6178548490687219</v>
          </cell>
          <cell r="K920">
            <v>0.61176920137562096</v>
          </cell>
          <cell r="L920">
            <v>0.58725400755897306</v>
          </cell>
          <cell r="M920" t="str">
            <v>N/A</v>
          </cell>
        </row>
        <row r="921">
          <cell r="F921">
            <v>19</v>
          </cell>
          <cell r="G921" t="str">
            <v>Nassau</v>
          </cell>
          <cell r="H921">
            <v>0.65401856177788997</v>
          </cell>
          <cell r="I921">
            <v>0.62608856772280896</v>
          </cell>
          <cell r="J921">
            <v>0.63998551249547264</v>
          </cell>
          <cell r="K921">
            <v>0.64435245416913067</v>
          </cell>
          <cell r="L921">
            <v>0.6465039162998113</v>
          </cell>
          <cell r="M921" t="str">
            <v>N/A</v>
          </cell>
        </row>
        <row r="922">
          <cell r="F922">
            <v>20</v>
          </cell>
          <cell r="G922" t="str">
            <v>Niagara</v>
          </cell>
          <cell r="H922">
            <v>0.67994987468671675</v>
          </cell>
          <cell r="I922">
            <v>0.65119876256767206</v>
          </cell>
          <cell r="J922">
            <v>0.61296211775444998</v>
          </cell>
          <cell r="K922">
            <v>0.70401554404145072</v>
          </cell>
          <cell r="L922">
            <v>0.64005995877833988</v>
          </cell>
          <cell r="M922" t="str">
            <v>N/A</v>
          </cell>
        </row>
        <row r="923">
          <cell r="F923">
            <v>21</v>
          </cell>
          <cell r="G923" t="str">
            <v>North Country</v>
          </cell>
          <cell r="H923">
            <v>0.75638841567291315</v>
          </cell>
          <cell r="I923">
            <v>0.734375</v>
          </cell>
          <cell r="J923">
            <v>0.61025641025641031</v>
          </cell>
          <cell r="K923">
            <v>0.43325526932084307</v>
          </cell>
          <cell r="L923">
            <v>0.38707435719249478</v>
          </cell>
          <cell r="M923" t="str">
            <v>N/A</v>
          </cell>
        </row>
        <row r="924">
          <cell r="F924">
            <v>22</v>
          </cell>
          <cell r="G924" t="str">
            <v>Onondaga</v>
          </cell>
          <cell r="H924">
            <v>0.55191157818445369</v>
          </cell>
          <cell r="I924">
            <v>0.51673338670936753</v>
          </cell>
          <cell r="J924">
            <v>0.56050677151594586</v>
          </cell>
          <cell r="K924">
            <v>0.51203470472991885</v>
          </cell>
          <cell r="L924">
            <v>0.53004073319755596</v>
          </cell>
          <cell r="M924" t="str">
            <v>N/A</v>
          </cell>
        </row>
        <row r="925">
          <cell r="F925">
            <v>23</v>
          </cell>
          <cell r="G925" t="str">
            <v>Orange</v>
          </cell>
          <cell r="H925">
            <v>0.55790240349599418</v>
          </cell>
          <cell r="I925">
            <v>0.56372430471584034</v>
          </cell>
          <cell r="J925">
            <v>0.52387740555951534</v>
          </cell>
          <cell r="K925">
            <v>0.55505004549590542</v>
          </cell>
          <cell r="L925">
            <v>0.5099914965986394</v>
          </cell>
          <cell r="M925" t="str">
            <v>N/A</v>
          </cell>
        </row>
        <row r="926">
          <cell r="F926">
            <v>24</v>
          </cell>
          <cell r="G926" t="str">
            <v>Rockland</v>
          </cell>
          <cell r="H926">
            <v>0.6</v>
          </cell>
          <cell r="I926">
            <v>0.6</v>
          </cell>
          <cell r="J926">
            <v>0.52999178307313066</v>
          </cell>
          <cell r="K926">
            <v>0.53701572688914456</v>
          </cell>
          <cell r="L926">
            <v>0.510048886474742</v>
          </cell>
          <cell r="M926" t="str">
            <v>N/A</v>
          </cell>
        </row>
        <row r="927">
          <cell r="F927">
            <v>25</v>
          </cell>
          <cell r="G927" t="str">
            <v>Schenectady</v>
          </cell>
          <cell r="H927">
            <v>0.61412850550230746</v>
          </cell>
          <cell r="I927">
            <v>0.62097902097902102</v>
          </cell>
          <cell r="J927">
            <v>0.62787249814677537</v>
          </cell>
          <cell r="K927">
            <v>0.62097326936257713</v>
          </cell>
          <cell r="L927">
            <v>0.60498442367601246</v>
          </cell>
          <cell r="M927" t="str">
            <v>N/A</v>
          </cell>
        </row>
        <row r="928">
          <cell r="F928">
            <v>26</v>
          </cell>
          <cell r="G928" t="str">
            <v>Suffolk</v>
          </cell>
          <cell r="H928">
            <v>0.5661977519014606</v>
          </cell>
          <cell r="I928">
            <v>0.55982217640615939</v>
          </cell>
          <cell r="J928">
            <v>0.55983554712207462</v>
          </cell>
          <cell r="K928">
            <v>0.53500217404807748</v>
          </cell>
          <cell r="L928">
            <v>0.50999945208481723</v>
          </cell>
          <cell r="M928" t="str">
            <v>N/A</v>
          </cell>
        </row>
        <row r="929">
          <cell r="F929">
            <v>27</v>
          </cell>
          <cell r="G929" t="str">
            <v>Sullivan</v>
          </cell>
          <cell r="H929">
            <v>0.64447924823805791</v>
          </cell>
          <cell r="I929">
            <v>0.65</v>
          </cell>
          <cell r="J929">
            <v>0.62962962962962965</v>
          </cell>
          <cell r="K929">
            <v>0.66956521739130437</v>
          </cell>
          <cell r="L929">
            <v>0.65955826351865954</v>
          </cell>
          <cell r="M929" t="str">
            <v>N/A</v>
          </cell>
        </row>
        <row r="930">
          <cell r="F930">
            <v>28</v>
          </cell>
          <cell r="G930" t="str">
            <v>Tompkins-Cortland</v>
          </cell>
          <cell r="H930">
            <v>0.5100947672023074</v>
          </cell>
          <cell r="I930">
            <v>0.440099537859936</v>
          </cell>
          <cell r="J930">
            <v>0.48009277155005797</v>
          </cell>
          <cell r="K930">
            <v>0.47986450884456155</v>
          </cell>
          <cell r="L930">
            <v>0.42992805755395685</v>
          </cell>
          <cell r="M930" t="str">
            <v>N/A</v>
          </cell>
        </row>
        <row r="931">
          <cell r="F931">
            <v>29</v>
          </cell>
          <cell r="G931" t="str">
            <v>Ulster</v>
          </cell>
          <cell r="H931">
            <v>0.53015712113532687</v>
          </cell>
          <cell r="I931">
            <v>0.65991102323282258</v>
          </cell>
          <cell r="J931">
            <v>0.6631067961165048</v>
          </cell>
          <cell r="K931">
            <v>0.66666666666666663</v>
          </cell>
          <cell r="L931">
            <v>0.67006651884700663</v>
          </cell>
          <cell r="M931" t="str">
            <v>N/A</v>
          </cell>
        </row>
        <row r="932">
          <cell r="F932">
            <v>30</v>
          </cell>
          <cell r="G932" t="str">
            <v>Westchester</v>
          </cell>
          <cell r="H932">
            <v>0.49051115112896521</v>
          </cell>
          <cell r="I932">
            <v>0.49397755269641391</v>
          </cell>
          <cell r="J932">
            <v>0.49116787393569705</v>
          </cell>
          <cell r="K932">
            <v>0.4493907588370129</v>
          </cell>
          <cell r="L932">
            <v>0.44208111771452402</v>
          </cell>
          <cell r="M932" t="str">
            <v>N/A</v>
          </cell>
        </row>
        <row r="934">
          <cell r="F934">
            <v>0</v>
          </cell>
          <cell r="G934" t="str">
            <v>Community Colleges</v>
          </cell>
        </row>
        <row r="935">
          <cell r="F935">
            <v>1</v>
          </cell>
          <cell r="G935" t="str">
            <v>Adirondack</v>
          </cell>
          <cell r="H935">
            <v>16.112359550561798</v>
          </cell>
          <cell r="I935">
            <v>16.380219780219782</v>
          </cell>
          <cell r="J935">
            <v>17.066508313539195</v>
          </cell>
          <cell r="K935">
            <v>17.50120481927711</v>
          </cell>
          <cell r="L935">
            <v>18.626410835214447</v>
          </cell>
          <cell r="M935" t="str">
            <v>N/A</v>
          </cell>
        </row>
        <row r="936">
          <cell r="F936">
            <v>2</v>
          </cell>
          <cell r="G936" t="str">
            <v>Broome</v>
          </cell>
          <cell r="H936">
            <v>18.343085106382979</v>
          </cell>
          <cell r="I936">
            <v>18.75768194070081</v>
          </cell>
          <cell r="J936">
            <v>19.357142857142858</v>
          </cell>
          <cell r="K936">
            <v>19.429133858267715</v>
          </cell>
          <cell r="L936">
            <v>20.096950444726815</v>
          </cell>
          <cell r="M936" t="str">
            <v>N/A</v>
          </cell>
        </row>
        <row r="937">
          <cell r="F937">
            <v>3</v>
          </cell>
          <cell r="G937" t="str">
            <v>Cayuga</v>
          </cell>
          <cell r="H937">
            <v>19.160098522167491</v>
          </cell>
          <cell r="I937">
            <v>21.201652892561984</v>
          </cell>
          <cell r="J937">
            <v>20.490861618798956</v>
          </cell>
          <cell r="K937">
            <v>21.217270194986074</v>
          </cell>
          <cell r="L937">
            <v>24.65454545454546</v>
          </cell>
          <cell r="M937" t="str">
            <v>N/A</v>
          </cell>
        </row>
        <row r="938">
          <cell r="F938">
            <v>4</v>
          </cell>
          <cell r="G938" t="str">
            <v>Clinton</v>
          </cell>
          <cell r="H938">
            <v>18.389763779527563</v>
          </cell>
          <cell r="I938">
            <v>18.837130801687763</v>
          </cell>
          <cell r="J938">
            <v>18.435897435897434</v>
          </cell>
          <cell r="K938">
            <v>18.737068965517242</v>
          </cell>
          <cell r="L938">
            <v>19.825925925925926</v>
          </cell>
          <cell r="M938" t="str">
            <v>N/A</v>
          </cell>
        </row>
        <row r="939">
          <cell r="F939">
            <v>5</v>
          </cell>
          <cell r="G939" t="str">
            <v>Columbia-Greene</v>
          </cell>
          <cell r="H939">
            <v>16.914285714285715</v>
          </cell>
          <cell r="I939">
            <v>17.454285714285714</v>
          </cell>
          <cell r="J939">
            <v>16.328947368421051</v>
          </cell>
          <cell r="K939">
            <v>16.936363636363637</v>
          </cell>
          <cell r="L939">
            <v>18.370742358078605</v>
          </cell>
          <cell r="M939" t="str">
            <v>N/A</v>
          </cell>
        </row>
        <row r="940">
          <cell r="F940">
            <v>6</v>
          </cell>
          <cell r="G940" t="str">
            <v>Corning</v>
          </cell>
          <cell r="H940">
            <v>22.91759465478842</v>
          </cell>
          <cell r="I940">
            <v>22.258048780487808</v>
          </cell>
          <cell r="J940">
            <v>22.741706161137444</v>
          </cell>
          <cell r="K940">
            <v>24.402985074626866</v>
          </cell>
          <cell r="L940">
            <v>23.755676855895196</v>
          </cell>
          <cell r="M940" t="str">
            <v>N/A</v>
          </cell>
        </row>
        <row r="941">
          <cell r="F941">
            <v>7</v>
          </cell>
          <cell r="G941" t="str">
            <v>Dutchess</v>
          </cell>
          <cell r="H941">
            <v>21.679558011049725</v>
          </cell>
          <cell r="I941">
            <v>22.113513513513517</v>
          </cell>
          <cell r="J941">
            <v>23.336244541484717</v>
          </cell>
          <cell r="K941">
            <v>24.557206537890046</v>
          </cell>
          <cell r="L941">
            <v>27.516170212765957</v>
          </cell>
          <cell r="M941" t="str">
            <v>N/A</v>
          </cell>
        </row>
        <row r="942">
          <cell r="F942">
            <v>8</v>
          </cell>
          <cell r="G942" t="str">
            <v>Erie</v>
          </cell>
          <cell r="H942">
            <v>13.576177285318559</v>
          </cell>
          <cell r="I942">
            <v>14.853792761527023</v>
          </cell>
          <cell r="J942">
            <v>13.935394554683896</v>
          </cell>
          <cell r="K942">
            <v>14.100399822301201</v>
          </cell>
          <cell r="L942">
            <v>15.305951307484223</v>
          </cell>
          <cell r="M942" t="str">
            <v>N/A</v>
          </cell>
        </row>
        <row r="943">
          <cell r="F943">
            <v>9</v>
          </cell>
          <cell r="G943" t="str">
            <v>Fashion Institute</v>
          </cell>
          <cell r="H943">
            <v>18.174165457184326</v>
          </cell>
          <cell r="I943">
            <v>18.571827794561933</v>
          </cell>
          <cell r="J943">
            <v>17.738384560400288</v>
          </cell>
          <cell r="K943">
            <v>17.085985104942452</v>
          </cell>
          <cell r="L943">
            <v>17.302048909451422</v>
          </cell>
          <cell r="M943" t="str">
            <v>N/A</v>
          </cell>
        </row>
        <row r="944">
          <cell r="F944">
            <v>10</v>
          </cell>
          <cell r="G944" t="str">
            <v>Finger Lakes</v>
          </cell>
          <cell r="H944">
            <v>19.849397590361445</v>
          </cell>
          <cell r="I944">
            <v>20.458232931726908</v>
          </cell>
          <cell r="J944">
            <v>20.582061068702291</v>
          </cell>
          <cell r="K944">
            <v>21.75418994413408</v>
          </cell>
          <cell r="L944">
            <v>24.231625441696114</v>
          </cell>
          <cell r="M944" t="str">
            <v>N/A</v>
          </cell>
        </row>
        <row r="945">
          <cell r="F945">
            <v>11</v>
          </cell>
          <cell r="G945" t="str">
            <v>Fulton-Montgomery</v>
          </cell>
          <cell r="H945">
            <v>22.49321266968326</v>
          </cell>
          <cell r="I945">
            <v>22.221333333333334</v>
          </cell>
          <cell r="J945">
            <v>23.026315789473685</v>
          </cell>
          <cell r="K945">
            <v>24</v>
          </cell>
          <cell r="L945">
            <v>25.015384615384619</v>
          </cell>
          <cell r="M945" t="str">
            <v>N/A</v>
          </cell>
        </row>
        <row r="946">
          <cell r="F946">
            <v>12</v>
          </cell>
          <cell r="G946" t="str">
            <v>Genesee</v>
          </cell>
          <cell r="H946">
            <v>26.289130434782614</v>
          </cell>
          <cell r="I946">
            <v>25.639316239316237</v>
          </cell>
          <cell r="J946">
            <v>24.863354037267079</v>
          </cell>
          <cell r="K946">
            <v>24.623762376237625</v>
          </cell>
          <cell r="L946">
            <v>26.683399209486169</v>
          </cell>
          <cell r="M946" t="str">
            <v>N/A</v>
          </cell>
        </row>
        <row r="947">
          <cell r="F947">
            <v>13</v>
          </cell>
          <cell r="G947" t="str">
            <v>Herkimer</v>
          </cell>
          <cell r="H947">
            <v>26.082802547770704</v>
          </cell>
          <cell r="I947">
            <v>23.391265060240965</v>
          </cell>
          <cell r="J947">
            <v>23.887499999999999</v>
          </cell>
          <cell r="K947">
            <v>27.94</v>
          </cell>
          <cell r="L947">
            <v>29.251456310679611</v>
          </cell>
          <cell r="M947" t="str">
            <v>N/A</v>
          </cell>
        </row>
        <row r="948">
          <cell r="F948">
            <v>14</v>
          </cell>
          <cell r="G948" t="str">
            <v>Hudson Valley</v>
          </cell>
          <cell r="H948">
            <v>21.554883318928265</v>
          </cell>
          <cell r="I948">
            <v>20.636652719665271</v>
          </cell>
          <cell r="J948">
            <v>21.598491198658845</v>
          </cell>
          <cell r="K948">
            <v>21.791290057518491</v>
          </cell>
          <cell r="L948">
            <v>22.414186046511627</v>
          </cell>
          <cell r="M948" t="str">
            <v>N/A</v>
          </cell>
        </row>
        <row r="949">
          <cell r="F949">
            <v>15</v>
          </cell>
          <cell r="G949" t="str">
            <v>Jamestown</v>
          </cell>
          <cell r="H949">
            <v>16.25048923679061</v>
          </cell>
          <cell r="I949">
            <v>17.164969199178643</v>
          </cell>
          <cell r="J949">
            <v>15.704453441295547</v>
          </cell>
          <cell r="K949">
            <v>15.709193245778613</v>
          </cell>
          <cell r="L949">
            <v>20.308888888888887</v>
          </cell>
          <cell r="M949" t="str">
            <v>N/A</v>
          </cell>
        </row>
        <row r="950">
          <cell r="F950">
            <v>16</v>
          </cell>
          <cell r="G950" t="str">
            <v>Jefferson</v>
          </cell>
          <cell r="H950">
            <v>19.944767441860467</v>
          </cell>
          <cell r="I950">
            <v>20.470031545741328</v>
          </cell>
          <cell r="J950">
            <v>20.73076923076923</v>
          </cell>
          <cell r="K950">
            <v>19.449848024316111</v>
          </cell>
          <cell r="L950">
            <v>20.602890173410405</v>
          </cell>
          <cell r="M950" t="str">
            <v>N/A</v>
          </cell>
        </row>
        <row r="951">
          <cell r="F951">
            <v>17</v>
          </cell>
          <cell r="G951" t="str">
            <v>Mohawk Valley</v>
          </cell>
          <cell r="H951">
            <v>23.74647887323944</v>
          </cell>
          <cell r="I951">
            <v>23.354290718038534</v>
          </cell>
          <cell r="J951">
            <v>23.511265164644715</v>
          </cell>
          <cell r="K951">
            <v>23.457770270270274</v>
          </cell>
          <cell r="L951">
            <v>24.568571428571428</v>
          </cell>
          <cell r="M951" t="str">
            <v>N/A</v>
          </cell>
        </row>
        <row r="952">
          <cell r="F952">
            <v>18</v>
          </cell>
          <cell r="G952" t="str">
            <v>Monroe</v>
          </cell>
          <cell r="H952">
            <v>22.985651902682473</v>
          </cell>
          <cell r="I952">
            <v>24.133133732534933</v>
          </cell>
          <cell r="J952">
            <v>25.180592991913748</v>
          </cell>
          <cell r="K952">
            <v>25.573289902280131</v>
          </cell>
          <cell r="L952">
            <v>28.105860805860804</v>
          </cell>
          <cell r="M952" t="str">
            <v>N/A</v>
          </cell>
        </row>
        <row r="953">
          <cell r="F953">
            <v>19</v>
          </cell>
          <cell r="G953" t="str">
            <v>Nassau</v>
          </cell>
          <cell r="H953">
            <v>19.098472668810292</v>
          </cell>
          <cell r="I953">
            <v>19.093474842767296</v>
          </cell>
          <cell r="J953">
            <v>19.270259790616517</v>
          </cell>
          <cell r="K953">
            <v>19.933202357563854</v>
          </cell>
          <cell r="L953">
            <v>20.505627198124266</v>
          </cell>
          <cell r="M953" t="str">
            <v>N/A</v>
          </cell>
        </row>
        <row r="954">
          <cell r="F954">
            <v>20</v>
          </cell>
          <cell r="G954" t="str">
            <v>Niagara</v>
          </cell>
          <cell r="H954">
            <v>17.37300435413643</v>
          </cell>
          <cell r="I954">
            <v>18.441678939617084</v>
          </cell>
          <cell r="J954">
            <v>18.386013986013989</v>
          </cell>
          <cell r="K954">
            <v>18.577540106951872</v>
          </cell>
          <cell r="L954">
            <v>22.297353760445684</v>
          </cell>
          <cell r="M954" t="str">
            <v>N/A</v>
          </cell>
        </row>
        <row r="955">
          <cell r="F955">
            <v>21</v>
          </cell>
          <cell r="G955" t="str">
            <v>North Country</v>
          </cell>
          <cell r="H955">
            <v>18.634920634920636</v>
          </cell>
          <cell r="I955">
            <v>15.027074235807861</v>
          </cell>
          <cell r="J955">
            <v>12.272727272727273</v>
          </cell>
          <cell r="K955">
            <v>18.885000000000002</v>
          </cell>
          <cell r="L955">
            <v>21.16764705882353</v>
          </cell>
          <cell r="M955" t="str">
            <v>N/A</v>
          </cell>
        </row>
        <row r="956">
          <cell r="F956">
            <v>22</v>
          </cell>
          <cell r="G956" t="str">
            <v>Onondaga</v>
          </cell>
          <cell r="H956">
            <v>20.216117216117215</v>
          </cell>
          <cell r="I956">
            <v>21.559883720930234</v>
          </cell>
          <cell r="J956">
            <v>22.607142857142861</v>
          </cell>
          <cell r="K956">
            <v>23.662251655629138</v>
          </cell>
          <cell r="L956">
            <v>24.023547400611619</v>
          </cell>
          <cell r="M956" t="str">
            <v>N/A</v>
          </cell>
        </row>
        <row r="957">
          <cell r="F957">
            <v>23</v>
          </cell>
          <cell r="G957" t="str">
            <v>Orange</v>
          </cell>
          <cell r="H957">
            <v>19.802884615384617</v>
          </cell>
          <cell r="I957">
            <v>17.951374819102753</v>
          </cell>
          <cell r="J957">
            <v>15.39878048780488</v>
          </cell>
          <cell r="K957">
            <v>17.284403669724771</v>
          </cell>
          <cell r="L957">
            <v>16.331597222222221</v>
          </cell>
          <cell r="M957" t="str">
            <v>N/A</v>
          </cell>
        </row>
        <row r="958">
          <cell r="F958">
            <v>24</v>
          </cell>
          <cell r="G958" t="str">
            <v>Rockland</v>
          </cell>
          <cell r="H958">
            <v>16.214788732394368</v>
          </cell>
          <cell r="I958">
            <v>16.870207570207569</v>
          </cell>
          <cell r="J958">
            <v>16.82488479262673</v>
          </cell>
          <cell r="K958">
            <v>16.517423442449843</v>
          </cell>
          <cell r="L958">
            <v>17.77886266094421</v>
          </cell>
          <cell r="M958" t="str">
            <v>N/A</v>
          </cell>
        </row>
        <row r="959">
          <cell r="F959">
            <v>25</v>
          </cell>
          <cell r="G959" t="str">
            <v>Schenectady</v>
          </cell>
          <cell r="H959">
            <v>23.672268907563026</v>
          </cell>
          <cell r="I959">
            <v>23.334097421203438</v>
          </cell>
          <cell r="J959">
            <v>23.393063583815032</v>
          </cell>
          <cell r="K959">
            <v>25.447674418604652</v>
          </cell>
          <cell r="L959">
            <v>27.832369942196532</v>
          </cell>
          <cell r="M959" t="str">
            <v>N/A</v>
          </cell>
        </row>
        <row r="960">
          <cell r="F960">
            <v>26</v>
          </cell>
          <cell r="G960" t="str">
            <v>Suffolk</v>
          </cell>
          <cell r="H960">
            <v>19.888888888888889</v>
          </cell>
          <cell r="I960">
            <v>20.280331443523767</v>
          </cell>
          <cell r="J960">
            <v>21.667428049337598</v>
          </cell>
          <cell r="K960">
            <v>22.083676268861453</v>
          </cell>
          <cell r="L960">
            <v>23.924377457404979</v>
          </cell>
          <cell r="M960" t="str">
            <v>N/A</v>
          </cell>
        </row>
        <row r="961">
          <cell r="F961">
            <v>27</v>
          </cell>
          <cell r="G961" t="str">
            <v>Sullivan</v>
          </cell>
          <cell r="H961">
            <v>17.102678571428573</v>
          </cell>
          <cell r="I961">
            <v>21.327586206896552</v>
          </cell>
          <cell r="J961">
            <v>17.05263157894737</v>
          </cell>
          <cell r="K961">
            <v>18.96</v>
          </cell>
          <cell r="L961">
            <v>20.092346938775513</v>
          </cell>
          <cell r="M961" t="str">
            <v>N/A</v>
          </cell>
        </row>
        <row r="962">
          <cell r="F962">
            <v>28</v>
          </cell>
          <cell r="G962" t="str">
            <v>Tompkins-Cortland</v>
          </cell>
          <cell r="H962">
            <v>17.46043165467626</v>
          </cell>
          <cell r="I962">
            <v>17.427160493827159</v>
          </cell>
          <cell r="J962">
            <v>18.65625</v>
          </cell>
          <cell r="K962">
            <v>18.888625592417064</v>
          </cell>
          <cell r="L962">
            <v>22.464439655172416</v>
          </cell>
          <cell r="M962" t="str">
            <v>N/A</v>
          </cell>
        </row>
        <row r="963">
          <cell r="F963">
            <v>29</v>
          </cell>
          <cell r="G963" t="str">
            <v>Ulster</v>
          </cell>
          <cell r="H963">
            <v>18.045731707317074</v>
          </cell>
          <cell r="I963">
            <v>19.143670886075949</v>
          </cell>
          <cell r="J963">
            <v>19.681528662420384</v>
          </cell>
          <cell r="K963">
            <v>19.211180124223603</v>
          </cell>
          <cell r="L963">
            <v>20.140178571428571</v>
          </cell>
          <cell r="M963" t="str">
            <v>N/A</v>
          </cell>
        </row>
        <row r="964">
          <cell r="F964">
            <v>30</v>
          </cell>
          <cell r="G964" t="str">
            <v>Westchester</v>
          </cell>
          <cell r="H964">
            <v>21.294985250737462</v>
          </cell>
          <cell r="I964">
            <v>26.676923076923078</v>
          </cell>
          <cell r="J964">
            <v>28.930147058823529</v>
          </cell>
          <cell r="K964">
            <v>30.624384236453206</v>
          </cell>
          <cell r="L964">
            <v>34.624187725631771</v>
          </cell>
          <cell r="M964" t="str">
            <v>N/A</v>
          </cell>
        </row>
        <row r="966">
          <cell r="F966">
            <v>0</v>
          </cell>
          <cell r="G966" t="str">
            <v>Community Colleges</v>
          </cell>
        </row>
        <row r="967">
          <cell r="F967">
            <v>1</v>
          </cell>
          <cell r="G967" t="str">
            <v>Adirondack</v>
          </cell>
          <cell r="H967">
            <v>232</v>
          </cell>
          <cell r="I967">
            <v>214</v>
          </cell>
          <cell r="J967">
            <v>226</v>
          </cell>
          <cell r="K967">
            <v>194</v>
          </cell>
          <cell r="L967">
            <v>190</v>
          </cell>
          <cell r="M967">
            <v>195</v>
          </cell>
          <cell r="N967" t="str">
            <v>(2401) Liberal Arts &amp; Sciences, General Studies &amp; Humanities</v>
          </cell>
        </row>
        <row r="968">
          <cell r="F968">
            <v>2</v>
          </cell>
          <cell r="G968" t="str">
            <v>Broome</v>
          </cell>
          <cell r="H968">
            <v>364</v>
          </cell>
          <cell r="I968">
            <v>363</v>
          </cell>
          <cell r="J968">
            <v>401</v>
          </cell>
          <cell r="K968">
            <v>404</v>
          </cell>
          <cell r="L968">
            <v>423</v>
          </cell>
          <cell r="M968">
            <v>452</v>
          </cell>
          <cell r="N968" t="str">
            <v>(2401) Liberal Arts &amp; Sciences, General Studies &amp; Humanities</v>
          </cell>
        </row>
        <row r="969">
          <cell r="F969">
            <v>3</v>
          </cell>
          <cell r="G969" t="str">
            <v>Cayuga County</v>
          </cell>
          <cell r="H969">
            <v>290</v>
          </cell>
          <cell r="I969">
            <v>271</v>
          </cell>
          <cell r="J969">
            <v>262</v>
          </cell>
          <cell r="K969">
            <v>237</v>
          </cell>
          <cell r="L969">
            <v>189</v>
          </cell>
          <cell r="M969">
            <v>269</v>
          </cell>
          <cell r="N969" t="str">
            <v>(2401) Liberal Arts &amp; Sciences, General Studies &amp; Humanities</v>
          </cell>
        </row>
        <row r="970">
          <cell r="F970">
            <v>4</v>
          </cell>
          <cell r="G970" t="str">
            <v>Clinton</v>
          </cell>
          <cell r="H970">
            <v>159</v>
          </cell>
          <cell r="I970">
            <v>131</v>
          </cell>
          <cell r="J970">
            <v>111</v>
          </cell>
          <cell r="K970">
            <v>140</v>
          </cell>
          <cell r="L970">
            <v>131</v>
          </cell>
          <cell r="M970">
            <v>133</v>
          </cell>
          <cell r="N970" t="str">
            <v>(2401) Liberal Arts &amp; Sciences, General Studies &amp; Humanities</v>
          </cell>
        </row>
        <row r="971">
          <cell r="F971">
            <v>5</v>
          </cell>
          <cell r="G971" t="str">
            <v>Columbia-Greene</v>
          </cell>
          <cell r="H971">
            <v>130</v>
          </cell>
          <cell r="I971">
            <v>108</v>
          </cell>
          <cell r="J971">
            <v>120</v>
          </cell>
          <cell r="K971">
            <v>133</v>
          </cell>
          <cell r="L971">
            <v>126</v>
          </cell>
          <cell r="M971">
            <v>129</v>
          </cell>
          <cell r="N971" t="str">
            <v>(2401) Liberal Arts &amp; Sciences, General Studies &amp; Humanities</v>
          </cell>
        </row>
        <row r="972">
          <cell r="F972">
            <v>6</v>
          </cell>
          <cell r="G972" t="str">
            <v>Corning</v>
          </cell>
          <cell r="H972">
            <v>327</v>
          </cell>
          <cell r="I972">
            <v>357</v>
          </cell>
          <cell r="J972">
            <v>310</v>
          </cell>
          <cell r="K972">
            <v>310</v>
          </cell>
          <cell r="L972">
            <v>283</v>
          </cell>
          <cell r="M972">
            <v>308</v>
          </cell>
          <cell r="N972" t="str">
            <v>(2401) Liberal Arts &amp; Sciences, General Studies &amp; Humanities</v>
          </cell>
        </row>
        <row r="973">
          <cell r="F973">
            <v>7</v>
          </cell>
          <cell r="G973" t="str">
            <v>Dutchess</v>
          </cell>
          <cell r="H973">
            <v>267</v>
          </cell>
          <cell r="I973">
            <v>269</v>
          </cell>
          <cell r="J973">
            <v>270</v>
          </cell>
          <cell r="K973">
            <v>275</v>
          </cell>
          <cell r="L973">
            <v>290</v>
          </cell>
          <cell r="M973">
            <v>311</v>
          </cell>
          <cell r="N973" t="str">
            <v>(2401) Liberal Arts &amp; Sciences, General Studies &amp; Humanities</v>
          </cell>
        </row>
        <row r="974">
          <cell r="F974">
            <v>8</v>
          </cell>
          <cell r="G974" t="str">
            <v>Erie</v>
          </cell>
          <cell r="H974">
            <v>768</v>
          </cell>
          <cell r="I974">
            <v>709</v>
          </cell>
          <cell r="J974">
            <v>661</v>
          </cell>
          <cell r="K974">
            <v>686</v>
          </cell>
          <cell r="L974">
            <v>758</v>
          </cell>
          <cell r="M974">
            <v>760</v>
          </cell>
          <cell r="N974" t="str">
            <v>(2401) Liberal Arts &amp; Sciences, General Studies &amp; Humanities</v>
          </cell>
        </row>
        <row r="975">
          <cell r="F975">
            <v>9</v>
          </cell>
          <cell r="G975" t="str">
            <v>Fashion Institute</v>
          </cell>
          <cell r="H975">
            <v>922</v>
          </cell>
          <cell r="I975">
            <v>1150</v>
          </cell>
          <cell r="J975">
            <v>1118</v>
          </cell>
          <cell r="K975">
            <v>1130</v>
          </cell>
          <cell r="L975">
            <v>1260</v>
          </cell>
          <cell r="M975">
            <v>1279</v>
          </cell>
          <cell r="N975" t="str">
            <v>(5004) Design &amp; Applied Arts</v>
          </cell>
        </row>
        <row r="976">
          <cell r="F976">
            <v>10</v>
          </cell>
          <cell r="G976" t="str">
            <v>Finger Lakes</v>
          </cell>
          <cell r="H976">
            <v>223</v>
          </cell>
          <cell r="I976">
            <v>238</v>
          </cell>
          <cell r="J976">
            <v>218</v>
          </cell>
          <cell r="K976">
            <v>226</v>
          </cell>
          <cell r="L976">
            <v>249</v>
          </cell>
          <cell r="M976">
            <v>216</v>
          </cell>
          <cell r="N976" t="str">
            <v>(2401) Liberal Arts &amp; Sciences, General Studies &amp; Humanities</v>
          </cell>
        </row>
        <row r="977">
          <cell r="F977">
            <v>11</v>
          </cell>
          <cell r="G977" t="str">
            <v>Fulton-Montgomery</v>
          </cell>
          <cell r="H977">
            <v>155</v>
          </cell>
          <cell r="I977">
            <v>153</v>
          </cell>
          <cell r="J977">
            <v>164</v>
          </cell>
          <cell r="K977">
            <v>148</v>
          </cell>
          <cell r="L977">
            <v>166</v>
          </cell>
          <cell r="M977">
            <v>197</v>
          </cell>
          <cell r="N977" t="str">
            <v>(2401) Liberal Arts &amp; Sciences, General Studies &amp; Humanities</v>
          </cell>
        </row>
        <row r="978">
          <cell r="F978">
            <v>12</v>
          </cell>
          <cell r="G978" t="str">
            <v>Genesee</v>
          </cell>
          <cell r="H978">
            <v>260</v>
          </cell>
          <cell r="I978">
            <v>252</v>
          </cell>
          <cell r="J978">
            <v>266</v>
          </cell>
          <cell r="K978">
            <v>198</v>
          </cell>
          <cell r="L978">
            <v>270</v>
          </cell>
          <cell r="M978">
            <v>226</v>
          </cell>
          <cell r="N978" t="str">
            <v>(2401) Liberal Arts &amp; Sciences, General Studies &amp; Humanities</v>
          </cell>
        </row>
        <row r="979">
          <cell r="F979">
            <v>13</v>
          </cell>
          <cell r="G979" t="str">
            <v>Herkimer County</v>
          </cell>
          <cell r="H979">
            <v>203</v>
          </cell>
          <cell r="I979">
            <v>225</v>
          </cell>
          <cell r="J979">
            <v>207</v>
          </cell>
          <cell r="K979">
            <v>184</v>
          </cell>
          <cell r="L979">
            <v>175</v>
          </cell>
          <cell r="M979">
            <v>208</v>
          </cell>
          <cell r="N979" t="str">
            <v>(2401) Liberal Arts &amp; Sciences, General Studies &amp; Humanities</v>
          </cell>
        </row>
        <row r="980">
          <cell r="F980">
            <v>14</v>
          </cell>
          <cell r="G980" t="str">
            <v>Hudson Valley</v>
          </cell>
          <cell r="H980">
            <v>471</v>
          </cell>
          <cell r="I980">
            <v>439</v>
          </cell>
          <cell r="J980">
            <v>480</v>
          </cell>
          <cell r="K980">
            <v>463</v>
          </cell>
          <cell r="L980">
            <v>424</v>
          </cell>
          <cell r="M980">
            <v>444</v>
          </cell>
          <cell r="N980" t="str">
            <v>(2401) Liberal Arts &amp; Sciences, General Studies &amp; Humanities</v>
          </cell>
        </row>
        <row r="981">
          <cell r="F981">
            <v>15</v>
          </cell>
          <cell r="G981" t="str">
            <v>Jamestown</v>
          </cell>
          <cell r="H981">
            <v>344</v>
          </cell>
          <cell r="I981">
            <v>296</v>
          </cell>
          <cell r="J981">
            <v>330</v>
          </cell>
          <cell r="K981">
            <v>283</v>
          </cell>
          <cell r="L981">
            <v>284</v>
          </cell>
          <cell r="M981">
            <v>278</v>
          </cell>
          <cell r="N981" t="str">
            <v>(2401) Liberal Arts &amp; Sciences, General Studies &amp; Humanities</v>
          </cell>
        </row>
        <row r="982">
          <cell r="F982">
            <v>16</v>
          </cell>
          <cell r="G982" t="str">
            <v>Jefferson</v>
          </cell>
          <cell r="H982">
            <v>297</v>
          </cell>
          <cell r="I982">
            <v>327</v>
          </cell>
          <cell r="J982">
            <v>277</v>
          </cell>
          <cell r="K982">
            <v>253</v>
          </cell>
          <cell r="L982">
            <v>225</v>
          </cell>
          <cell r="M982">
            <v>251</v>
          </cell>
          <cell r="N982" t="str">
            <v>(2401) Liberal Arts &amp; Sciences, General Studies &amp; Humanities</v>
          </cell>
        </row>
        <row r="983">
          <cell r="F983">
            <v>17</v>
          </cell>
          <cell r="G983" t="str">
            <v>Mohawk Valley</v>
          </cell>
          <cell r="H983">
            <v>260</v>
          </cell>
          <cell r="I983">
            <v>232</v>
          </cell>
          <cell r="J983">
            <v>248</v>
          </cell>
          <cell r="K983">
            <v>197</v>
          </cell>
          <cell r="L983">
            <v>239</v>
          </cell>
          <cell r="M983">
            <v>228</v>
          </cell>
          <cell r="N983" t="str">
            <v>(2401) Liberal Arts &amp; Sciences, General Studies &amp; Humanities</v>
          </cell>
        </row>
        <row r="984">
          <cell r="F984">
            <v>18</v>
          </cell>
          <cell r="G984" t="str">
            <v>Monroe</v>
          </cell>
          <cell r="H984">
            <v>1213</v>
          </cell>
          <cell r="I984">
            <v>1162</v>
          </cell>
          <cell r="J984">
            <v>1131</v>
          </cell>
          <cell r="K984">
            <v>990</v>
          </cell>
          <cell r="L984">
            <v>1123</v>
          </cell>
          <cell r="M984">
            <v>1132</v>
          </cell>
          <cell r="N984" t="str">
            <v>(2401) Liberal Arts &amp; Sciences, General Studies &amp; Humanities</v>
          </cell>
        </row>
        <row r="985">
          <cell r="F985">
            <v>19</v>
          </cell>
          <cell r="G985" t="str">
            <v>Nassau</v>
          </cell>
          <cell r="H985">
            <v>1655</v>
          </cell>
          <cell r="I985">
            <v>1674</v>
          </cell>
          <cell r="J985">
            <v>1554</v>
          </cell>
          <cell r="K985">
            <v>1509</v>
          </cell>
          <cell r="L985">
            <v>1407</v>
          </cell>
          <cell r="M985">
            <v>1313</v>
          </cell>
          <cell r="N985" t="str">
            <v>(2401) Liberal Arts &amp; Sciences, General Studies &amp; Humanities</v>
          </cell>
        </row>
        <row r="986">
          <cell r="F986">
            <v>20</v>
          </cell>
          <cell r="G986" t="str">
            <v>Niagara County</v>
          </cell>
          <cell r="H986">
            <v>257</v>
          </cell>
          <cell r="I986">
            <v>295</v>
          </cell>
          <cell r="J986">
            <v>267</v>
          </cell>
          <cell r="K986">
            <v>262</v>
          </cell>
          <cell r="L986">
            <v>238</v>
          </cell>
          <cell r="M986">
            <v>244</v>
          </cell>
          <cell r="N986" t="str">
            <v>(2401) Liberal Arts &amp; Sciences, General Studies &amp; Humanities</v>
          </cell>
        </row>
        <row r="987">
          <cell r="F987">
            <v>21</v>
          </cell>
          <cell r="G987" t="str">
            <v>North Country</v>
          </cell>
          <cell r="H987">
            <v>72</v>
          </cell>
          <cell r="I987">
            <v>88</v>
          </cell>
          <cell r="J987">
            <v>104</v>
          </cell>
          <cell r="K987">
            <v>104</v>
          </cell>
          <cell r="L987">
            <v>93</v>
          </cell>
          <cell r="M987">
            <v>143</v>
          </cell>
          <cell r="N987" t="str">
            <v>(5116) Nursing</v>
          </cell>
        </row>
        <row r="988">
          <cell r="F988">
            <v>22</v>
          </cell>
          <cell r="G988" t="str">
            <v>Onondaga</v>
          </cell>
          <cell r="H988">
            <v>270</v>
          </cell>
          <cell r="I988">
            <v>264</v>
          </cell>
          <cell r="J988">
            <v>270</v>
          </cell>
          <cell r="K988">
            <v>252</v>
          </cell>
          <cell r="L988">
            <v>281</v>
          </cell>
          <cell r="M988">
            <v>301</v>
          </cell>
          <cell r="N988" t="str">
            <v>(2401) Liberal Arts &amp; Sciences, General Studies &amp; Humanities</v>
          </cell>
        </row>
        <row r="989">
          <cell r="F989">
            <v>23</v>
          </cell>
          <cell r="G989" t="str">
            <v>Orange County</v>
          </cell>
          <cell r="H989">
            <v>317</v>
          </cell>
          <cell r="I989">
            <v>281</v>
          </cell>
          <cell r="J989">
            <v>301</v>
          </cell>
          <cell r="K989">
            <v>254</v>
          </cell>
          <cell r="L989">
            <v>286</v>
          </cell>
          <cell r="M989">
            <v>316</v>
          </cell>
          <cell r="N989" t="str">
            <v>(2401) Liberal Arts &amp; Sciences, General Studies &amp; Humanities</v>
          </cell>
        </row>
        <row r="990">
          <cell r="F990">
            <v>24</v>
          </cell>
          <cell r="G990" t="str">
            <v>Rockland</v>
          </cell>
          <cell r="H990">
            <v>406</v>
          </cell>
          <cell r="I990">
            <v>388</v>
          </cell>
          <cell r="J990">
            <v>388</v>
          </cell>
          <cell r="K990">
            <v>414</v>
          </cell>
          <cell r="L990">
            <v>388</v>
          </cell>
          <cell r="M990">
            <v>473</v>
          </cell>
          <cell r="N990" t="str">
            <v>(2401) Liberal Arts &amp; Sciences, General Studies &amp; Humanities</v>
          </cell>
        </row>
        <row r="991">
          <cell r="F991">
            <v>25</v>
          </cell>
          <cell r="G991" t="str">
            <v>Schenectady County</v>
          </cell>
          <cell r="H991">
            <v>84</v>
          </cell>
          <cell r="I991">
            <v>108</v>
          </cell>
          <cell r="J991">
            <v>96</v>
          </cell>
          <cell r="K991">
            <v>89</v>
          </cell>
          <cell r="L991">
            <v>75</v>
          </cell>
          <cell r="M991">
            <v>94</v>
          </cell>
          <cell r="N991" t="str">
            <v>(2401) Liberal Arts &amp; Sciences, General Studies &amp; Humanities</v>
          </cell>
        </row>
        <row r="992">
          <cell r="F992">
            <v>26</v>
          </cell>
          <cell r="G992" t="str">
            <v>Suffolk County</v>
          </cell>
          <cell r="H992">
            <v>1316</v>
          </cell>
          <cell r="I992">
            <v>1248</v>
          </cell>
          <cell r="J992">
            <v>1335</v>
          </cell>
          <cell r="K992">
            <v>1409</v>
          </cell>
          <cell r="L992">
            <v>1233</v>
          </cell>
          <cell r="M992">
            <v>1290</v>
          </cell>
          <cell r="N992" t="str">
            <v>(2401) Liberal Arts &amp; Sciences, General Studies &amp; Humanities</v>
          </cell>
        </row>
        <row r="993">
          <cell r="F993">
            <v>27</v>
          </cell>
          <cell r="G993" t="str">
            <v>Sullivan County</v>
          </cell>
          <cell r="H993">
            <v>62</v>
          </cell>
          <cell r="I993">
            <v>64</v>
          </cell>
          <cell r="J993">
            <v>85</v>
          </cell>
          <cell r="K993">
            <v>59</v>
          </cell>
          <cell r="L993">
            <v>75</v>
          </cell>
          <cell r="M993">
            <v>66</v>
          </cell>
          <cell r="N993" t="str">
            <v>(2401) Liberal Arts &amp; Sciences, General Studies &amp; Humanities</v>
          </cell>
        </row>
        <row r="994">
          <cell r="F994">
            <v>28</v>
          </cell>
          <cell r="G994" t="str">
            <v>Tompkins Cortland</v>
          </cell>
          <cell r="H994">
            <v>162</v>
          </cell>
          <cell r="I994">
            <v>197</v>
          </cell>
          <cell r="J994">
            <v>171</v>
          </cell>
          <cell r="K994">
            <v>174</v>
          </cell>
          <cell r="L994">
            <v>195</v>
          </cell>
          <cell r="M994">
            <v>206</v>
          </cell>
          <cell r="N994" t="str">
            <v>(2401) Liberal Arts &amp; Sciences, General Studies &amp; Humanities</v>
          </cell>
        </row>
        <row r="995">
          <cell r="F995">
            <v>29</v>
          </cell>
          <cell r="G995" t="str">
            <v>Ulster County</v>
          </cell>
          <cell r="H995">
            <v>161</v>
          </cell>
          <cell r="I995">
            <v>177</v>
          </cell>
          <cell r="J995">
            <v>157</v>
          </cell>
          <cell r="K995">
            <v>149</v>
          </cell>
          <cell r="L995">
            <v>177</v>
          </cell>
          <cell r="M995">
            <v>169</v>
          </cell>
          <cell r="N995" t="str">
            <v>(2401) Liberal Arts &amp; Sciences, General Studies &amp; Humanities</v>
          </cell>
        </row>
        <row r="996">
          <cell r="F996">
            <v>30</v>
          </cell>
          <cell r="G996" t="str">
            <v>Westchester</v>
          </cell>
          <cell r="H996">
            <v>369</v>
          </cell>
          <cell r="I996">
            <v>361</v>
          </cell>
          <cell r="J996">
            <v>361</v>
          </cell>
          <cell r="K996">
            <v>357</v>
          </cell>
          <cell r="L996">
            <v>371</v>
          </cell>
          <cell r="M996">
            <v>427</v>
          </cell>
          <cell r="N996" t="str">
            <v>(2401) Liberal Arts &amp; Sciences, General Studies &amp; Humanities</v>
          </cell>
        </row>
        <row r="998">
          <cell r="F998">
            <v>0</v>
          </cell>
          <cell r="G998" t="str">
            <v>Community Colleges</v>
          </cell>
        </row>
        <row r="999">
          <cell r="F999">
            <v>1</v>
          </cell>
          <cell r="G999" t="str">
            <v>Adirondack</v>
          </cell>
          <cell r="H999">
            <v>82</v>
          </cell>
          <cell r="I999">
            <v>78</v>
          </cell>
          <cell r="J999">
            <v>78</v>
          </cell>
          <cell r="K999">
            <v>80</v>
          </cell>
          <cell r="L999">
            <v>63</v>
          </cell>
          <cell r="M999">
            <v>74</v>
          </cell>
          <cell r="N999" t="str">
            <v>(5116) Nursing</v>
          </cell>
        </row>
        <row r="1000">
          <cell r="F1000">
            <v>2</v>
          </cell>
          <cell r="G1000" t="str">
            <v>Broome</v>
          </cell>
          <cell r="H1000">
            <v>75</v>
          </cell>
          <cell r="I1000">
            <v>82</v>
          </cell>
          <cell r="J1000">
            <v>83</v>
          </cell>
          <cell r="K1000">
            <v>91</v>
          </cell>
          <cell r="L1000">
            <v>103</v>
          </cell>
          <cell r="M1000">
            <v>87</v>
          </cell>
          <cell r="N1000" t="str">
            <v>(5202) Business Administration, Management &amp; Operations</v>
          </cell>
        </row>
        <row r="1001">
          <cell r="F1001">
            <v>3</v>
          </cell>
          <cell r="G1001" t="str">
            <v>Cayuga County</v>
          </cell>
          <cell r="H1001">
            <v>73</v>
          </cell>
          <cell r="I1001">
            <v>65</v>
          </cell>
          <cell r="J1001">
            <v>76</v>
          </cell>
          <cell r="K1001">
            <v>77</v>
          </cell>
          <cell r="L1001">
            <v>68</v>
          </cell>
          <cell r="M1001">
            <v>62</v>
          </cell>
          <cell r="N1001" t="str">
            <v>(4301) Criminal Justice &amp; Corrections</v>
          </cell>
        </row>
        <row r="1002">
          <cell r="F1002">
            <v>4</v>
          </cell>
          <cell r="G1002" t="str">
            <v>Clinton</v>
          </cell>
          <cell r="H1002">
            <v>45</v>
          </cell>
          <cell r="I1002">
            <v>48</v>
          </cell>
          <cell r="J1002">
            <v>33</v>
          </cell>
          <cell r="K1002">
            <v>46</v>
          </cell>
          <cell r="L1002">
            <v>32</v>
          </cell>
          <cell r="M1002">
            <v>40</v>
          </cell>
          <cell r="N1002" t="str">
            <v>(4301) Criminal Justice &amp; Corrections</v>
          </cell>
        </row>
        <row r="1003">
          <cell r="F1003">
            <v>5</v>
          </cell>
          <cell r="G1003" t="str">
            <v>Columbia-Greene</v>
          </cell>
          <cell r="H1003">
            <v>40</v>
          </cell>
          <cell r="I1003">
            <v>54</v>
          </cell>
          <cell r="J1003">
            <v>49</v>
          </cell>
          <cell r="K1003">
            <v>55</v>
          </cell>
          <cell r="L1003">
            <v>53</v>
          </cell>
          <cell r="M1003">
            <v>54</v>
          </cell>
          <cell r="N1003" t="str">
            <v>(5116) Nursing</v>
          </cell>
        </row>
        <row r="1004">
          <cell r="F1004">
            <v>6</v>
          </cell>
          <cell r="G1004" t="str">
            <v>Corning</v>
          </cell>
          <cell r="H1004">
            <v>46</v>
          </cell>
          <cell r="I1004">
            <v>66</v>
          </cell>
          <cell r="J1004">
            <v>84</v>
          </cell>
          <cell r="K1004">
            <v>69</v>
          </cell>
          <cell r="L1004">
            <v>64</v>
          </cell>
          <cell r="M1004">
            <v>64</v>
          </cell>
          <cell r="N1004" t="str">
            <v>(5202) Business Administration, Management &amp; Operations</v>
          </cell>
        </row>
        <row r="1005">
          <cell r="F1005">
            <v>7</v>
          </cell>
          <cell r="G1005" t="str">
            <v>Dutchess</v>
          </cell>
          <cell r="H1005">
            <v>159</v>
          </cell>
          <cell r="I1005">
            <v>142</v>
          </cell>
          <cell r="J1005">
            <v>168</v>
          </cell>
          <cell r="K1005">
            <v>150</v>
          </cell>
          <cell r="L1005">
            <v>148</v>
          </cell>
          <cell r="M1005">
            <v>152</v>
          </cell>
          <cell r="N1005" t="str">
            <v>(5202) Business Administration, Management &amp; Operations</v>
          </cell>
        </row>
        <row r="1006">
          <cell r="F1006">
            <v>8</v>
          </cell>
          <cell r="G1006" t="str">
            <v>Erie</v>
          </cell>
          <cell r="H1006">
            <v>214</v>
          </cell>
          <cell r="I1006">
            <v>250</v>
          </cell>
          <cell r="J1006">
            <v>231</v>
          </cell>
          <cell r="K1006">
            <v>251</v>
          </cell>
          <cell r="L1006">
            <v>219</v>
          </cell>
          <cell r="M1006">
            <v>207</v>
          </cell>
          <cell r="N1006" t="str">
            <v>(5202) Business Administration, Management &amp; Operations</v>
          </cell>
        </row>
        <row r="1007">
          <cell r="F1007">
            <v>9</v>
          </cell>
          <cell r="G1007" t="str">
            <v>Fashion Institute</v>
          </cell>
          <cell r="H1007">
            <v>843</v>
          </cell>
          <cell r="I1007">
            <v>940</v>
          </cell>
          <cell r="J1007">
            <v>1047</v>
          </cell>
          <cell r="K1007">
            <v>974</v>
          </cell>
          <cell r="L1007">
            <v>1079</v>
          </cell>
          <cell r="M1007">
            <v>1139</v>
          </cell>
          <cell r="N1007" t="str">
            <v>(5219) Specialized Sales, Merchandising &amp; Marketing Operations</v>
          </cell>
        </row>
        <row r="1008">
          <cell r="F1008">
            <v>10</v>
          </cell>
          <cell r="G1008" t="str">
            <v>Finger Lakes</v>
          </cell>
          <cell r="H1008">
            <v>46</v>
          </cell>
          <cell r="I1008">
            <v>61</v>
          </cell>
          <cell r="J1008">
            <v>58</v>
          </cell>
          <cell r="K1008">
            <v>80</v>
          </cell>
          <cell r="L1008">
            <v>95</v>
          </cell>
          <cell r="M1008">
            <v>87</v>
          </cell>
          <cell r="N1008" t="str">
            <v>(5202) Business Administration, Management &amp; Operations</v>
          </cell>
        </row>
        <row r="1009">
          <cell r="F1009">
            <v>11</v>
          </cell>
          <cell r="G1009" t="str">
            <v>Fulton-Montgomery</v>
          </cell>
          <cell r="H1009">
            <v>36</v>
          </cell>
          <cell r="I1009">
            <v>45</v>
          </cell>
          <cell r="J1009">
            <v>26</v>
          </cell>
          <cell r="K1009">
            <v>34</v>
          </cell>
          <cell r="L1009">
            <v>42</v>
          </cell>
          <cell r="M1009">
            <v>45</v>
          </cell>
          <cell r="N1009" t="str">
            <v>(5202) Business Administration, Management &amp; Operations</v>
          </cell>
        </row>
        <row r="1010">
          <cell r="F1010">
            <v>12</v>
          </cell>
          <cell r="G1010" t="str">
            <v>Genesee</v>
          </cell>
          <cell r="H1010">
            <v>82</v>
          </cell>
          <cell r="I1010">
            <v>96</v>
          </cell>
          <cell r="J1010">
            <v>102</v>
          </cell>
          <cell r="K1010">
            <v>76</v>
          </cell>
          <cell r="L1010">
            <v>72</v>
          </cell>
          <cell r="M1010">
            <v>68</v>
          </cell>
          <cell r="N1010" t="str">
            <v>(5202) Business Administration, Management &amp; Operations</v>
          </cell>
        </row>
        <row r="1011">
          <cell r="F1011">
            <v>13</v>
          </cell>
          <cell r="G1011" t="str">
            <v>Herkimer County</v>
          </cell>
          <cell r="H1011">
            <v>95</v>
          </cell>
          <cell r="I1011">
            <v>80</v>
          </cell>
          <cell r="J1011">
            <v>89</v>
          </cell>
          <cell r="K1011">
            <v>73</v>
          </cell>
          <cell r="L1011">
            <v>65</v>
          </cell>
          <cell r="M1011">
            <v>88</v>
          </cell>
          <cell r="N1011" t="str">
            <v>(4301) Criminal Justice &amp; Corrections</v>
          </cell>
        </row>
        <row r="1012">
          <cell r="F1012">
            <v>14</v>
          </cell>
          <cell r="G1012" t="str">
            <v>Hudson Valley</v>
          </cell>
          <cell r="H1012">
            <v>209</v>
          </cell>
          <cell r="I1012">
            <v>233</v>
          </cell>
          <cell r="J1012">
            <v>215</v>
          </cell>
          <cell r="K1012">
            <v>249</v>
          </cell>
          <cell r="L1012">
            <v>290</v>
          </cell>
          <cell r="M1012">
            <v>273</v>
          </cell>
          <cell r="N1012" t="str">
            <v>(5202) Business Administration, Management &amp; Operations</v>
          </cell>
        </row>
        <row r="1013">
          <cell r="F1013">
            <v>15</v>
          </cell>
          <cell r="G1013" t="str">
            <v>Jamestown</v>
          </cell>
          <cell r="H1013">
            <v>70</v>
          </cell>
          <cell r="I1013">
            <v>83</v>
          </cell>
          <cell r="J1013">
            <v>90</v>
          </cell>
          <cell r="K1013">
            <v>79</v>
          </cell>
          <cell r="L1013">
            <v>90</v>
          </cell>
          <cell r="M1013">
            <v>105</v>
          </cell>
          <cell r="N1013" t="str">
            <v>(5116) Nursing</v>
          </cell>
        </row>
        <row r="1014">
          <cell r="F1014">
            <v>16</v>
          </cell>
          <cell r="G1014" t="str">
            <v>Jefferson</v>
          </cell>
          <cell r="H1014">
            <v>54</v>
          </cell>
          <cell r="I1014">
            <v>62</v>
          </cell>
          <cell r="J1014">
            <v>63</v>
          </cell>
          <cell r="K1014">
            <v>57</v>
          </cell>
          <cell r="L1014">
            <v>56</v>
          </cell>
          <cell r="M1014">
            <v>56</v>
          </cell>
          <cell r="N1014" t="str">
            <v>(5202) Business Administration, Management &amp; Operations</v>
          </cell>
        </row>
        <row r="1015">
          <cell r="F1015">
            <v>17</v>
          </cell>
          <cell r="G1015" t="str">
            <v>Mohawk Valley</v>
          </cell>
          <cell r="H1015">
            <v>80</v>
          </cell>
          <cell r="I1015">
            <v>96</v>
          </cell>
          <cell r="J1015">
            <v>65</v>
          </cell>
          <cell r="K1015">
            <v>87</v>
          </cell>
          <cell r="L1015">
            <v>90</v>
          </cell>
          <cell r="M1015">
            <v>75</v>
          </cell>
          <cell r="N1015" t="str">
            <v>(5116) Nursing</v>
          </cell>
        </row>
        <row r="1016">
          <cell r="F1016">
            <v>18</v>
          </cell>
          <cell r="G1016" t="str">
            <v>Monroe</v>
          </cell>
          <cell r="H1016">
            <v>313</v>
          </cell>
          <cell r="I1016">
            <v>289</v>
          </cell>
          <cell r="J1016">
            <v>308</v>
          </cell>
          <cell r="K1016">
            <v>293</v>
          </cell>
          <cell r="L1016">
            <v>311</v>
          </cell>
          <cell r="M1016">
            <v>339</v>
          </cell>
          <cell r="N1016" t="str">
            <v>(5202) Business Administration, Management &amp; Operations</v>
          </cell>
        </row>
        <row r="1017">
          <cell r="F1017">
            <v>19</v>
          </cell>
          <cell r="G1017" t="str">
            <v>Nassau</v>
          </cell>
          <cell r="H1017">
            <v>212</v>
          </cell>
          <cell r="I1017">
            <v>208</v>
          </cell>
          <cell r="J1017">
            <v>188</v>
          </cell>
          <cell r="K1017">
            <v>215</v>
          </cell>
          <cell r="L1017">
            <v>230</v>
          </cell>
          <cell r="M1017">
            <v>208</v>
          </cell>
          <cell r="N1017" t="str">
            <v>(5202) Business Administration, Management &amp; Operations</v>
          </cell>
        </row>
        <row r="1018">
          <cell r="F1018">
            <v>20</v>
          </cell>
          <cell r="G1018" t="str">
            <v>Niagara County</v>
          </cell>
          <cell r="H1018">
            <v>139</v>
          </cell>
          <cell r="I1018">
            <v>141</v>
          </cell>
          <cell r="J1018">
            <v>130</v>
          </cell>
          <cell r="K1018">
            <v>140</v>
          </cell>
          <cell r="L1018">
            <v>188</v>
          </cell>
          <cell r="M1018">
            <v>193</v>
          </cell>
          <cell r="N1018" t="str">
            <v>(5116) Nursing</v>
          </cell>
        </row>
        <row r="1019">
          <cell r="F1019">
            <v>21</v>
          </cell>
          <cell r="G1019" t="str">
            <v>North Country</v>
          </cell>
          <cell r="H1019">
            <v>80</v>
          </cell>
          <cell r="I1019">
            <v>81</v>
          </cell>
          <cell r="J1019">
            <v>61</v>
          </cell>
          <cell r="K1019">
            <v>67</v>
          </cell>
          <cell r="L1019">
            <v>59</v>
          </cell>
          <cell r="M1019">
            <v>50</v>
          </cell>
          <cell r="N1019" t="str">
            <v>(2401) Liberal Arts &amp; Sciences, General Studies &amp; Humanities</v>
          </cell>
        </row>
        <row r="1020">
          <cell r="F1020">
            <v>22</v>
          </cell>
          <cell r="G1020" t="str">
            <v>Onondaga</v>
          </cell>
          <cell r="H1020">
            <v>82</v>
          </cell>
          <cell r="I1020">
            <v>79</v>
          </cell>
          <cell r="J1020">
            <v>79</v>
          </cell>
          <cell r="K1020">
            <v>114</v>
          </cell>
          <cell r="L1020">
            <v>125</v>
          </cell>
          <cell r="M1020">
            <v>136</v>
          </cell>
          <cell r="N1020" t="str">
            <v>(5202) Business Administration, Management &amp; Operations</v>
          </cell>
        </row>
        <row r="1021">
          <cell r="F1021">
            <v>23</v>
          </cell>
          <cell r="G1021" t="str">
            <v>Orange County</v>
          </cell>
          <cell r="H1021">
            <v>74</v>
          </cell>
          <cell r="I1021">
            <v>100</v>
          </cell>
          <cell r="J1021">
            <v>110</v>
          </cell>
          <cell r="K1021">
            <v>107</v>
          </cell>
          <cell r="L1021">
            <v>85</v>
          </cell>
          <cell r="M1021">
            <v>68</v>
          </cell>
          <cell r="N1021" t="str">
            <v>(5116) Nursing</v>
          </cell>
        </row>
        <row r="1022">
          <cell r="F1022">
            <v>24</v>
          </cell>
          <cell r="G1022" t="str">
            <v>Rockland</v>
          </cell>
          <cell r="H1022">
            <v>91</v>
          </cell>
          <cell r="I1022">
            <v>103</v>
          </cell>
          <cell r="J1022">
            <v>97</v>
          </cell>
          <cell r="K1022">
            <v>86</v>
          </cell>
          <cell r="L1022">
            <v>50</v>
          </cell>
          <cell r="M1022">
            <v>100</v>
          </cell>
          <cell r="N1022" t="str">
            <v>(5116) Nursing</v>
          </cell>
        </row>
        <row r="1023">
          <cell r="F1023">
            <v>25</v>
          </cell>
          <cell r="G1023" t="str">
            <v>Schenectady County</v>
          </cell>
          <cell r="H1023">
            <v>70</v>
          </cell>
          <cell r="I1023">
            <v>57</v>
          </cell>
          <cell r="J1023">
            <v>69</v>
          </cell>
          <cell r="K1023">
            <v>65</v>
          </cell>
          <cell r="L1023">
            <v>75</v>
          </cell>
          <cell r="M1023">
            <v>88</v>
          </cell>
          <cell r="N1023" t="str">
            <v>(5202) Business Administration, Management &amp; Operations</v>
          </cell>
        </row>
        <row r="1024">
          <cell r="F1024">
            <v>26</v>
          </cell>
          <cell r="G1024" t="str">
            <v>Suffolk County</v>
          </cell>
          <cell r="H1024">
            <v>228</v>
          </cell>
          <cell r="I1024">
            <v>250</v>
          </cell>
          <cell r="J1024">
            <v>310</v>
          </cell>
          <cell r="K1024">
            <v>342</v>
          </cell>
          <cell r="L1024">
            <v>340</v>
          </cell>
          <cell r="M1024">
            <v>339</v>
          </cell>
          <cell r="N1024" t="str">
            <v>(5116) Nursing</v>
          </cell>
        </row>
        <row r="1025">
          <cell r="F1025">
            <v>27</v>
          </cell>
          <cell r="G1025" t="str">
            <v>Sullivan County</v>
          </cell>
          <cell r="H1025">
            <v>21</v>
          </cell>
          <cell r="I1025">
            <v>35</v>
          </cell>
          <cell r="J1025">
            <v>39</v>
          </cell>
          <cell r="K1025">
            <v>49</v>
          </cell>
          <cell r="L1025">
            <v>71</v>
          </cell>
          <cell r="M1025">
            <v>52</v>
          </cell>
          <cell r="N1025" t="str">
            <v>(5116) Nursing</v>
          </cell>
        </row>
        <row r="1026">
          <cell r="F1026">
            <v>28</v>
          </cell>
          <cell r="G1026" t="str">
            <v>Tompkins Cortland</v>
          </cell>
          <cell r="H1026">
            <v>68</v>
          </cell>
          <cell r="I1026">
            <v>76</v>
          </cell>
          <cell r="J1026">
            <v>54</v>
          </cell>
          <cell r="K1026">
            <v>60</v>
          </cell>
          <cell r="L1026">
            <v>72</v>
          </cell>
          <cell r="M1026">
            <v>77</v>
          </cell>
          <cell r="N1026" t="str">
            <v>(5202) Business Administration, Management &amp; Operations</v>
          </cell>
        </row>
        <row r="1027">
          <cell r="F1027">
            <v>29</v>
          </cell>
          <cell r="G1027" t="str">
            <v>Ulster County</v>
          </cell>
          <cell r="H1027">
            <v>46</v>
          </cell>
          <cell r="I1027">
            <v>55</v>
          </cell>
          <cell r="J1027">
            <v>38</v>
          </cell>
          <cell r="K1027">
            <v>45</v>
          </cell>
          <cell r="L1027">
            <v>41</v>
          </cell>
          <cell r="M1027">
            <v>34</v>
          </cell>
          <cell r="N1027" t="str">
            <v>(5116) Nursing</v>
          </cell>
        </row>
        <row r="1028">
          <cell r="F1028">
            <v>30</v>
          </cell>
          <cell r="G1028" t="str">
            <v>Westchester</v>
          </cell>
          <cell r="H1028">
            <v>78</v>
          </cell>
          <cell r="I1028">
            <v>92</v>
          </cell>
          <cell r="J1028">
            <v>85</v>
          </cell>
          <cell r="K1028">
            <v>103</v>
          </cell>
          <cell r="L1028">
            <v>91</v>
          </cell>
          <cell r="M1028">
            <v>98</v>
          </cell>
          <cell r="N1028" t="str">
            <v>(5202) Business Administration, Management &amp; Operations</v>
          </cell>
        </row>
        <row r="1030">
          <cell r="F1030">
            <v>0</v>
          </cell>
          <cell r="G1030" t="str">
            <v>Community Colleges</v>
          </cell>
        </row>
        <row r="1031">
          <cell r="F1031">
            <v>1</v>
          </cell>
          <cell r="G1031" t="str">
            <v>Adirondack</v>
          </cell>
          <cell r="H1031">
            <v>65</v>
          </cell>
          <cell r="I1031">
            <v>71</v>
          </cell>
          <cell r="J1031">
            <v>55</v>
          </cell>
          <cell r="K1031">
            <v>60</v>
          </cell>
          <cell r="L1031">
            <v>61</v>
          </cell>
          <cell r="M1031">
            <v>60</v>
          </cell>
          <cell r="N1031" t="str">
            <v>(5202) Business Administration, Management &amp; Operations</v>
          </cell>
        </row>
        <row r="1032">
          <cell r="F1032">
            <v>2</v>
          </cell>
          <cell r="G1032" t="str">
            <v>Broome</v>
          </cell>
          <cell r="H1032">
            <v>67</v>
          </cell>
          <cell r="I1032">
            <v>60</v>
          </cell>
          <cell r="J1032">
            <v>60</v>
          </cell>
          <cell r="K1032">
            <v>63</v>
          </cell>
          <cell r="L1032">
            <v>63</v>
          </cell>
          <cell r="M1032">
            <v>67</v>
          </cell>
          <cell r="N1032" t="str">
            <v>(5116) Nursing</v>
          </cell>
        </row>
        <row r="1033">
          <cell r="F1033">
            <v>3</v>
          </cell>
          <cell r="G1033" t="str">
            <v>Cayuga County</v>
          </cell>
          <cell r="H1033">
            <v>64</v>
          </cell>
          <cell r="I1033">
            <v>65</v>
          </cell>
          <cell r="J1033">
            <v>71</v>
          </cell>
          <cell r="K1033">
            <v>70</v>
          </cell>
          <cell r="L1033">
            <v>55</v>
          </cell>
          <cell r="M1033">
            <v>77</v>
          </cell>
          <cell r="N1033" t="str">
            <v>(5202) Business Administration, Management &amp; Operations</v>
          </cell>
        </row>
        <row r="1034">
          <cell r="F1034">
            <v>4</v>
          </cell>
          <cell r="G1034" t="str">
            <v>Clinton</v>
          </cell>
          <cell r="H1034">
            <v>36</v>
          </cell>
          <cell r="I1034">
            <v>50</v>
          </cell>
          <cell r="J1034">
            <v>42</v>
          </cell>
          <cell r="K1034">
            <v>38</v>
          </cell>
          <cell r="L1034">
            <v>33</v>
          </cell>
          <cell r="M1034">
            <v>33</v>
          </cell>
          <cell r="N1034" t="str">
            <v>(5116) Nursing</v>
          </cell>
        </row>
        <row r="1035">
          <cell r="F1035">
            <v>5</v>
          </cell>
          <cell r="G1035" t="str">
            <v>Columbia-Greene</v>
          </cell>
          <cell r="H1035">
            <v>20</v>
          </cell>
          <cell r="I1035">
            <v>21</v>
          </cell>
          <cell r="J1035">
            <v>27</v>
          </cell>
          <cell r="K1035">
            <v>22</v>
          </cell>
          <cell r="L1035">
            <v>16</v>
          </cell>
          <cell r="M1035">
            <v>21</v>
          </cell>
          <cell r="N1035" t="str">
            <v>(5202) Business Administration, Management &amp; Operations</v>
          </cell>
        </row>
        <row r="1036">
          <cell r="F1036">
            <v>6</v>
          </cell>
          <cell r="G1036" t="str">
            <v>Corning</v>
          </cell>
          <cell r="H1036">
            <v>70</v>
          </cell>
          <cell r="I1036">
            <v>50</v>
          </cell>
          <cell r="J1036">
            <v>59</v>
          </cell>
          <cell r="K1036">
            <v>50</v>
          </cell>
          <cell r="L1036">
            <v>44</v>
          </cell>
          <cell r="M1036">
            <v>44</v>
          </cell>
          <cell r="N1036" t="str">
            <v>(5116) Nursing</v>
          </cell>
        </row>
        <row r="1037">
          <cell r="F1037">
            <v>7</v>
          </cell>
          <cell r="G1037" t="str">
            <v>Dutchess</v>
          </cell>
          <cell r="H1037">
            <v>69</v>
          </cell>
          <cell r="I1037">
            <v>101</v>
          </cell>
          <cell r="J1037">
            <v>74</v>
          </cell>
          <cell r="K1037">
            <v>85</v>
          </cell>
          <cell r="L1037">
            <v>89</v>
          </cell>
          <cell r="M1037">
            <v>101</v>
          </cell>
          <cell r="N1037" t="str">
            <v>(5116) Nursing</v>
          </cell>
        </row>
        <row r="1038">
          <cell r="F1038">
            <v>8</v>
          </cell>
          <cell r="G1038" t="str">
            <v>Erie</v>
          </cell>
          <cell r="H1038">
            <v>139</v>
          </cell>
          <cell r="I1038">
            <v>123</v>
          </cell>
          <cell r="J1038">
            <v>129</v>
          </cell>
          <cell r="K1038">
            <v>144</v>
          </cell>
          <cell r="L1038">
            <v>153</v>
          </cell>
          <cell r="M1038">
            <v>170</v>
          </cell>
          <cell r="N1038" t="str">
            <v>(4301) Criminal Justice &amp; Corrections</v>
          </cell>
        </row>
        <row r="1039">
          <cell r="F1039">
            <v>9</v>
          </cell>
          <cell r="G1039" t="str">
            <v>Fashion Institute</v>
          </cell>
          <cell r="H1039">
            <v>293</v>
          </cell>
          <cell r="I1039">
            <v>346</v>
          </cell>
          <cell r="J1039">
            <v>317</v>
          </cell>
          <cell r="K1039">
            <v>353</v>
          </cell>
          <cell r="L1039">
            <v>380</v>
          </cell>
          <cell r="M1039">
            <v>421</v>
          </cell>
          <cell r="N1039" t="str">
            <v>(0909) Public Relations, Advertising, &amp; Applied Communication</v>
          </cell>
        </row>
        <row r="1040">
          <cell r="F1040">
            <v>10</v>
          </cell>
          <cell r="G1040" t="str">
            <v>Finger Lakes</v>
          </cell>
          <cell r="H1040">
            <v>50</v>
          </cell>
          <cell r="I1040">
            <v>51</v>
          </cell>
          <cell r="J1040">
            <v>56</v>
          </cell>
          <cell r="K1040">
            <v>62</v>
          </cell>
          <cell r="L1040">
            <v>48</v>
          </cell>
          <cell r="M1040">
            <v>51</v>
          </cell>
          <cell r="N1040" t="str">
            <v>(5116) Nursing</v>
          </cell>
        </row>
        <row r="1041">
          <cell r="F1041">
            <v>11</v>
          </cell>
          <cell r="G1041" t="str">
            <v>Fulton-Montgomery</v>
          </cell>
          <cell r="H1041">
            <v>30</v>
          </cell>
          <cell r="I1041">
            <v>37</v>
          </cell>
          <cell r="J1041">
            <v>38</v>
          </cell>
          <cell r="K1041">
            <v>44</v>
          </cell>
          <cell r="L1041">
            <v>38</v>
          </cell>
          <cell r="M1041">
            <v>38</v>
          </cell>
          <cell r="N1041" t="str">
            <v>(5116) Nursing</v>
          </cell>
        </row>
        <row r="1042">
          <cell r="F1042">
            <v>12</v>
          </cell>
          <cell r="G1042" t="str">
            <v>Genesee</v>
          </cell>
          <cell r="H1042">
            <v>55</v>
          </cell>
          <cell r="I1042">
            <v>60</v>
          </cell>
          <cell r="J1042">
            <v>69</v>
          </cell>
          <cell r="K1042">
            <v>57</v>
          </cell>
          <cell r="L1042">
            <v>58</v>
          </cell>
          <cell r="M1042">
            <v>104</v>
          </cell>
          <cell r="N1042" t="str">
            <v>(5116) Nursing</v>
          </cell>
        </row>
        <row r="1043">
          <cell r="F1043">
            <v>13</v>
          </cell>
          <cell r="G1043" t="str">
            <v>Herkimer County</v>
          </cell>
          <cell r="H1043">
            <v>51</v>
          </cell>
          <cell r="I1043">
            <v>47</v>
          </cell>
          <cell r="J1043">
            <v>45</v>
          </cell>
          <cell r="K1043">
            <v>33</v>
          </cell>
          <cell r="L1043">
            <v>45</v>
          </cell>
          <cell r="M1043">
            <v>41</v>
          </cell>
          <cell r="N1043" t="str">
            <v>(5202) Business Administration, Management &amp; Operations</v>
          </cell>
        </row>
        <row r="1044">
          <cell r="F1044">
            <v>14</v>
          </cell>
          <cell r="G1044" t="str">
            <v>Hudson Valley</v>
          </cell>
          <cell r="H1044">
            <v>126</v>
          </cell>
          <cell r="I1044">
            <v>150</v>
          </cell>
          <cell r="J1044">
            <v>133</v>
          </cell>
          <cell r="K1044">
            <v>157</v>
          </cell>
          <cell r="L1044">
            <v>108</v>
          </cell>
          <cell r="M1044">
            <v>138</v>
          </cell>
          <cell r="N1044" t="str">
            <v>(4301) Criminal Justice &amp; Corrections</v>
          </cell>
        </row>
        <row r="1045">
          <cell r="F1045">
            <v>15</v>
          </cell>
          <cell r="G1045" t="str">
            <v>Jamestown</v>
          </cell>
          <cell r="H1045">
            <v>96</v>
          </cell>
          <cell r="I1045">
            <v>100</v>
          </cell>
          <cell r="J1045">
            <v>65</v>
          </cell>
          <cell r="K1045">
            <v>74</v>
          </cell>
          <cell r="L1045">
            <v>73</v>
          </cell>
          <cell r="M1045">
            <v>73</v>
          </cell>
          <cell r="N1045" t="str">
            <v>(5202) Business Administration, Management &amp; Operations</v>
          </cell>
        </row>
        <row r="1046">
          <cell r="F1046">
            <v>16</v>
          </cell>
          <cell r="G1046" t="str">
            <v>Jefferson</v>
          </cell>
          <cell r="H1046">
            <v>51</v>
          </cell>
          <cell r="I1046">
            <v>46</v>
          </cell>
          <cell r="J1046">
            <v>57</v>
          </cell>
          <cell r="K1046">
            <v>44</v>
          </cell>
          <cell r="L1046">
            <v>54</v>
          </cell>
          <cell r="M1046">
            <v>43</v>
          </cell>
          <cell r="N1046" t="str">
            <v>(4301) Criminal Justice &amp; Corrections</v>
          </cell>
        </row>
        <row r="1047">
          <cell r="F1047">
            <v>17</v>
          </cell>
          <cell r="G1047" t="str">
            <v>Mohawk Valley</v>
          </cell>
          <cell r="H1047">
            <v>79</v>
          </cell>
          <cell r="I1047">
            <v>72</v>
          </cell>
          <cell r="J1047">
            <v>50</v>
          </cell>
          <cell r="K1047">
            <v>60</v>
          </cell>
          <cell r="L1047">
            <v>38</v>
          </cell>
          <cell r="M1047">
            <v>41</v>
          </cell>
          <cell r="N1047" t="str">
            <v>(5004) Design &amp; Applied Arts</v>
          </cell>
        </row>
        <row r="1048">
          <cell r="F1048">
            <v>18</v>
          </cell>
          <cell r="G1048" t="str">
            <v>Monroe</v>
          </cell>
          <cell r="H1048">
            <v>181</v>
          </cell>
          <cell r="I1048">
            <v>142</v>
          </cell>
          <cell r="J1048">
            <v>196</v>
          </cell>
          <cell r="K1048">
            <v>179</v>
          </cell>
          <cell r="L1048">
            <v>118</v>
          </cell>
          <cell r="M1048">
            <v>193</v>
          </cell>
          <cell r="N1048" t="str">
            <v>(4301) Criminal Justice &amp; Corrections</v>
          </cell>
        </row>
        <row r="1049">
          <cell r="F1049">
            <v>19</v>
          </cell>
          <cell r="G1049" t="str">
            <v>Nassau</v>
          </cell>
          <cell r="H1049">
            <v>146</v>
          </cell>
          <cell r="I1049">
            <v>132</v>
          </cell>
          <cell r="J1049">
            <v>146</v>
          </cell>
          <cell r="K1049">
            <v>136</v>
          </cell>
          <cell r="L1049">
            <v>166</v>
          </cell>
          <cell r="M1049">
            <v>139</v>
          </cell>
          <cell r="N1049" t="str">
            <v>(5116) Nursing</v>
          </cell>
        </row>
        <row r="1050">
          <cell r="F1050">
            <v>20</v>
          </cell>
          <cell r="G1050" t="str">
            <v>Niagara County</v>
          </cell>
          <cell r="H1050">
            <v>92</v>
          </cell>
          <cell r="I1050">
            <v>86</v>
          </cell>
          <cell r="J1050">
            <v>80</v>
          </cell>
          <cell r="K1050">
            <v>103</v>
          </cell>
          <cell r="L1050">
            <v>86</v>
          </cell>
          <cell r="M1050">
            <v>134</v>
          </cell>
          <cell r="N1050" t="str">
            <v>(5202) Business Administration, Management &amp; Operations</v>
          </cell>
        </row>
        <row r="1051">
          <cell r="F1051">
            <v>21</v>
          </cell>
          <cell r="G1051" t="str">
            <v>North Country</v>
          </cell>
          <cell r="H1051">
            <v>25</v>
          </cell>
          <cell r="I1051">
            <v>29</v>
          </cell>
          <cell r="J1051">
            <v>30</v>
          </cell>
          <cell r="K1051">
            <v>26</v>
          </cell>
          <cell r="L1051">
            <v>28</v>
          </cell>
          <cell r="M1051">
            <v>27</v>
          </cell>
          <cell r="N1051" t="str">
            <v>(5202) Business Administration, Management &amp; Operations</v>
          </cell>
        </row>
        <row r="1052">
          <cell r="F1052">
            <v>22</v>
          </cell>
          <cell r="G1052" t="str">
            <v>Onondaga</v>
          </cell>
          <cell r="H1052">
            <v>91</v>
          </cell>
          <cell r="I1052">
            <v>81</v>
          </cell>
          <cell r="J1052">
            <v>83</v>
          </cell>
          <cell r="K1052">
            <v>81</v>
          </cell>
          <cell r="L1052">
            <v>68</v>
          </cell>
          <cell r="M1052">
            <v>86</v>
          </cell>
          <cell r="N1052" t="str">
            <v>(4301) Criminal Justice &amp; Corrections</v>
          </cell>
        </row>
        <row r="1053">
          <cell r="F1053">
            <v>23</v>
          </cell>
          <cell r="G1053" t="str">
            <v>Orange County</v>
          </cell>
          <cell r="H1053">
            <v>78</v>
          </cell>
          <cell r="I1053">
            <v>67</v>
          </cell>
          <cell r="J1053">
            <v>56</v>
          </cell>
          <cell r="K1053">
            <v>56</v>
          </cell>
          <cell r="L1053">
            <v>76</v>
          </cell>
          <cell r="M1053">
            <v>60</v>
          </cell>
          <cell r="N1053" t="str">
            <v>(5202) Business Administration, Management &amp; Operations</v>
          </cell>
        </row>
        <row r="1054">
          <cell r="F1054">
            <v>24</v>
          </cell>
          <cell r="G1054" t="str">
            <v>Rockland</v>
          </cell>
          <cell r="H1054">
            <v>72</v>
          </cell>
          <cell r="I1054">
            <v>75</v>
          </cell>
          <cell r="J1054">
            <v>85</v>
          </cell>
          <cell r="K1054">
            <v>65</v>
          </cell>
          <cell r="L1054">
            <v>45</v>
          </cell>
          <cell r="M1054">
            <v>86</v>
          </cell>
          <cell r="N1054" t="str">
            <v>(5202) Business Administration, Management &amp; Operations</v>
          </cell>
        </row>
        <row r="1055">
          <cell r="F1055">
            <v>25</v>
          </cell>
          <cell r="G1055" t="str">
            <v>Schenectady County</v>
          </cell>
          <cell r="H1055">
            <v>62</v>
          </cell>
          <cell r="I1055">
            <v>63</v>
          </cell>
          <cell r="J1055">
            <v>61</v>
          </cell>
          <cell r="K1055">
            <v>67</v>
          </cell>
          <cell r="L1055">
            <v>64</v>
          </cell>
          <cell r="M1055">
            <v>66</v>
          </cell>
          <cell r="N1055" t="str">
            <v>(1205) Culinary Arts &amp; Related Services</v>
          </cell>
        </row>
        <row r="1056">
          <cell r="F1056">
            <v>26</v>
          </cell>
          <cell r="G1056" t="str">
            <v>Suffolk County</v>
          </cell>
          <cell r="H1056">
            <v>216</v>
          </cell>
          <cell r="I1056">
            <v>207</v>
          </cell>
          <cell r="J1056">
            <v>204</v>
          </cell>
          <cell r="K1056">
            <v>198</v>
          </cell>
          <cell r="L1056">
            <v>178</v>
          </cell>
          <cell r="M1056">
            <v>192</v>
          </cell>
          <cell r="N1056" t="str">
            <v>(5202) Business Administration, Management &amp; Operations</v>
          </cell>
        </row>
        <row r="1057">
          <cell r="F1057">
            <v>27</v>
          </cell>
          <cell r="G1057" t="str">
            <v>Sullivan County</v>
          </cell>
          <cell r="H1057">
            <v>18</v>
          </cell>
          <cell r="I1057">
            <v>23</v>
          </cell>
          <cell r="J1057">
            <v>19</v>
          </cell>
          <cell r="K1057">
            <v>19</v>
          </cell>
          <cell r="L1057">
            <v>16</v>
          </cell>
          <cell r="M1057">
            <v>11</v>
          </cell>
          <cell r="N1057" t="str">
            <v>(5202) Business Administration, Management &amp; Operations</v>
          </cell>
        </row>
        <row r="1058">
          <cell r="F1058">
            <v>28</v>
          </cell>
          <cell r="G1058" t="str">
            <v>Tompkins Cortland</v>
          </cell>
          <cell r="H1058">
            <v>43</v>
          </cell>
          <cell r="I1058">
            <v>55</v>
          </cell>
          <cell r="J1058">
            <v>64</v>
          </cell>
          <cell r="K1058">
            <v>49</v>
          </cell>
          <cell r="L1058">
            <v>49</v>
          </cell>
          <cell r="M1058">
            <v>48</v>
          </cell>
          <cell r="N1058" t="str">
            <v>(5116) Nursing</v>
          </cell>
        </row>
        <row r="1059">
          <cell r="F1059">
            <v>29</v>
          </cell>
          <cell r="G1059" t="str">
            <v>Ulster County</v>
          </cell>
          <cell r="H1059">
            <v>13</v>
          </cell>
          <cell r="I1059">
            <v>26</v>
          </cell>
          <cell r="J1059">
            <v>45</v>
          </cell>
          <cell r="K1059">
            <v>45</v>
          </cell>
          <cell r="L1059">
            <v>22</v>
          </cell>
          <cell r="M1059">
            <v>47</v>
          </cell>
          <cell r="N1059" t="str">
            <v>(4301) Criminal Justice &amp; Corrections</v>
          </cell>
        </row>
        <row r="1060">
          <cell r="F1060">
            <v>30</v>
          </cell>
          <cell r="G1060" t="str">
            <v>Westchester</v>
          </cell>
          <cell r="H1060">
            <v>99</v>
          </cell>
          <cell r="I1060">
            <v>62</v>
          </cell>
          <cell r="J1060">
            <v>63</v>
          </cell>
          <cell r="K1060">
            <v>74</v>
          </cell>
          <cell r="L1060">
            <v>85</v>
          </cell>
          <cell r="M1060">
            <v>89</v>
          </cell>
          <cell r="N1060" t="str">
            <v>(5116) Nursing</v>
          </cell>
        </row>
        <row r="1062">
          <cell r="F1062">
            <v>0</v>
          </cell>
          <cell r="G1062" t="str">
            <v>Community Colleges</v>
          </cell>
        </row>
        <row r="1063">
          <cell r="F1063">
            <v>1</v>
          </cell>
          <cell r="G1063" t="str">
            <v>Adirondack</v>
          </cell>
          <cell r="H1063">
            <v>27</v>
          </cell>
          <cell r="I1063">
            <v>29</v>
          </cell>
          <cell r="J1063">
            <v>35</v>
          </cell>
          <cell r="K1063">
            <v>26</v>
          </cell>
          <cell r="L1063">
            <v>27</v>
          </cell>
          <cell r="M1063">
            <v>36</v>
          </cell>
          <cell r="N1063" t="str">
            <v>(4301) Criminal Justice &amp; Corrections</v>
          </cell>
        </row>
        <row r="1064">
          <cell r="F1064">
            <v>2</v>
          </cell>
          <cell r="G1064" t="str">
            <v>Broome</v>
          </cell>
          <cell r="H1064">
            <v>40</v>
          </cell>
          <cell r="I1064">
            <v>36</v>
          </cell>
          <cell r="J1064">
            <v>43</v>
          </cell>
          <cell r="K1064">
            <v>48</v>
          </cell>
          <cell r="L1064">
            <v>40</v>
          </cell>
          <cell r="M1064">
            <v>55</v>
          </cell>
          <cell r="N1064" t="str">
            <v>(4301) Criminal Justice &amp; Corrections</v>
          </cell>
        </row>
        <row r="1065">
          <cell r="F1065">
            <v>3</v>
          </cell>
          <cell r="G1065" t="str">
            <v>Cayuga County</v>
          </cell>
          <cell r="H1065">
            <v>55</v>
          </cell>
          <cell r="I1065">
            <v>35</v>
          </cell>
          <cell r="J1065">
            <v>44</v>
          </cell>
          <cell r="K1065">
            <v>39</v>
          </cell>
          <cell r="L1065">
            <v>26</v>
          </cell>
          <cell r="M1065">
            <v>59</v>
          </cell>
          <cell r="N1065" t="str">
            <v>(5116) Nursing</v>
          </cell>
        </row>
        <row r="1066">
          <cell r="F1066">
            <v>4</v>
          </cell>
          <cell r="G1066" t="str">
            <v>Clinton</v>
          </cell>
          <cell r="H1066">
            <v>40</v>
          </cell>
          <cell r="I1066">
            <v>38</v>
          </cell>
          <cell r="J1066">
            <v>35</v>
          </cell>
          <cell r="K1066">
            <v>41</v>
          </cell>
          <cell r="L1066">
            <v>32</v>
          </cell>
          <cell r="M1066">
            <v>41</v>
          </cell>
          <cell r="N1066" t="str">
            <v>(5202) Business Administration, Management &amp; Operations</v>
          </cell>
        </row>
        <row r="1067">
          <cell r="F1067">
            <v>5</v>
          </cell>
          <cell r="G1067" t="str">
            <v>Columbia-Greene</v>
          </cell>
          <cell r="H1067">
            <v>23</v>
          </cell>
          <cell r="I1067">
            <v>20</v>
          </cell>
          <cell r="J1067">
            <v>23</v>
          </cell>
          <cell r="K1067">
            <v>15</v>
          </cell>
          <cell r="L1067">
            <v>21</v>
          </cell>
          <cell r="M1067">
            <v>22</v>
          </cell>
          <cell r="N1067" t="str">
            <v>(4301) Criminal Justice &amp; Corrections</v>
          </cell>
        </row>
        <row r="1068">
          <cell r="F1068">
            <v>6</v>
          </cell>
          <cell r="G1068" t="str">
            <v>Corning</v>
          </cell>
          <cell r="H1068">
            <v>49</v>
          </cell>
          <cell r="I1068">
            <v>61</v>
          </cell>
          <cell r="J1068">
            <v>49</v>
          </cell>
          <cell r="K1068">
            <v>28</v>
          </cell>
          <cell r="L1068">
            <v>34</v>
          </cell>
          <cell r="M1068">
            <v>70</v>
          </cell>
          <cell r="N1068" t="str">
            <v>(4301) Criminal Justice &amp; Corrections</v>
          </cell>
        </row>
        <row r="1069">
          <cell r="F1069">
            <v>7</v>
          </cell>
          <cell r="G1069" t="str">
            <v>Dutchess</v>
          </cell>
          <cell r="H1069">
            <v>53</v>
          </cell>
          <cell r="I1069">
            <v>66</v>
          </cell>
          <cell r="J1069">
            <v>59</v>
          </cell>
          <cell r="K1069">
            <v>62</v>
          </cell>
          <cell r="L1069">
            <v>76</v>
          </cell>
          <cell r="M1069">
            <v>62</v>
          </cell>
          <cell r="N1069" t="str">
            <v>(1312) Teacher Education &amp; Prof. Development, Specific Levels &amp; Methods</v>
          </cell>
        </row>
        <row r="1070">
          <cell r="F1070">
            <v>8</v>
          </cell>
          <cell r="G1070" t="str">
            <v>Erie</v>
          </cell>
          <cell r="H1070">
            <v>121</v>
          </cell>
          <cell r="I1070">
            <v>95</v>
          </cell>
          <cell r="J1070">
            <v>107</v>
          </cell>
          <cell r="K1070">
            <v>87</v>
          </cell>
          <cell r="L1070">
            <v>123</v>
          </cell>
          <cell r="M1070">
            <v>124</v>
          </cell>
          <cell r="N1070" t="str">
            <v>(5116) Nursing</v>
          </cell>
        </row>
        <row r="1071">
          <cell r="F1071">
            <v>9</v>
          </cell>
          <cell r="G1071" t="str">
            <v>Fashion Institute</v>
          </cell>
          <cell r="H1071">
            <v>94</v>
          </cell>
          <cell r="I1071">
            <v>120</v>
          </cell>
          <cell r="J1071">
            <v>150</v>
          </cell>
          <cell r="K1071">
            <v>144</v>
          </cell>
          <cell r="L1071">
            <v>153</v>
          </cell>
          <cell r="M1071">
            <v>177</v>
          </cell>
          <cell r="N1071" t="str">
            <v>(5007) Fine &amp; Studio Art</v>
          </cell>
        </row>
        <row r="1072">
          <cell r="F1072">
            <v>10</v>
          </cell>
          <cell r="G1072" t="str">
            <v>Finger Lakes</v>
          </cell>
          <cell r="H1072">
            <v>38</v>
          </cell>
          <cell r="I1072">
            <v>45</v>
          </cell>
          <cell r="J1072">
            <v>41</v>
          </cell>
          <cell r="K1072">
            <v>43</v>
          </cell>
          <cell r="L1072">
            <v>61</v>
          </cell>
          <cell r="M1072">
            <v>63</v>
          </cell>
          <cell r="N1072" t="str">
            <v>(4301) Criminal Justice &amp; Corrections</v>
          </cell>
        </row>
        <row r="1073">
          <cell r="F1073">
            <v>11</v>
          </cell>
          <cell r="G1073" t="str">
            <v>Fulton-Montgomery</v>
          </cell>
          <cell r="H1073">
            <v>23</v>
          </cell>
          <cell r="I1073">
            <v>20</v>
          </cell>
          <cell r="J1073">
            <v>23</v>
          </cell>
          <cell r="K1073">
            <v>19</v>
          </cell>
          <cell r="L1073">
            <v>17</v>
          </cell>
          <cell r="M1073">
            <v>25</v>
          </cell>
          <cell r="N1073" t="str">
            <v>(4301) Criminal Justice &amp; Corrections</v>
          </cell>
        </row>
        <row r="1074">
          <cell r="F1074">
            <v>12</v>
          </cell>
          <cell r="G1074" t="str">
            <v>Genesee</v>
          </cell>
          <cell r="H1074">
            <v>55</v>
          </cell>
          <cell r="I1074">
            <v>70</v>
          </cell>
          <cell r="J1074">
            <v>64</v>
          </cell>
          <cell r="K1074">
            <v>55</v>
          </cell>
          <cell r="L1074">
            <v>81</v>
          </cell>
          <cell r="M1074">
            <v>76</v>
          </cell>
          <cell r="N1074" t="str">
            <v>(4301) Criminal Justice &amp; Corrections</v>
          </cell>
        </row>
        <row r="1075">
          <cell r="F1075">
            <v>13</v>
          </cell>
          <cell r="G1075" t="str">
            <v>Herkimer County</v>
          </cell>
          <cell r="H1075">
            <v>19</v>
          </cell>
          <cell r="I1075">
            <v>32</v>
          </cell>
          <cell r="J1075">
            <v>29</v>
          </cell>
          <cell r="K1075">
            <v>40</v>
          </cell>
          <cell r="L1075">
            <v>41</v>
          </cell>
          <cell r="M1075">
            <v>38</v>
          </cell>
          <cell r="N1075" t="str">
            <v>(5203) Accounting &amp; Related Services</v>
          </cell>
        </row>
        <row r="1076">
          <cell r="F1076">
            <v>14</v>
          </cell>
          <cell r="G1076" t="str">
            <v>Hudson Valley</v>
          </cell>
          <cell r="H1076">
            <v>126</v>
          </cell>
          <cell r="I1076">
            <v>96</v>
          </cell>
          <cell r="J1076">
            <v>128</v>
          </cell>
          <cell r="K1076">
            <v>127</v>
          </cell>
          <cell r="L1076">
            <v>104</v>
          </cell>
          <cell r="M1076">
            <v>125</v>
          </cell>
          <cell r="N1076" t="str">
            <v>(5109) Allied Health Diagnostic, Intervention, &amp; Treatment Professions</v>
          </cell>
        </row>
        <row r="1077">
          <cell r="F1077">
            <v>15</v>
          </cell>
          <cell r="G1077" t="str">
            <v>Jamestown</v>
          </cell>
          <cell r="H1077">
            <v>53</v>
          </cell>
          <cell r="I1077">
            <v>62</v>
          </cell>
          <cell r="J1077">
            <v>59</v>
          </cell>
          <cell r="K1077">
            <v>57</v>
          </cell>
          <cell r="L1077">
            <v>56</v>
          </cell>
          <cell r="M1077">
            <v>110</v>
          </cell>
          <cell r="N1077" t="str">
            <v>(4301) Criminal Justice &amp; Corrections</v>
          </cell>
        </row>
        <row r="1078">
          <cell r="F1078">
            <v>16</v>
          </cell>
          <cell r="G1078" t="str">
            <v>Jefferson</v>
          </cell>
          <cell r="H1078">
            <v>25</v>
          </cell>
          <cell r="I1078">
            <v>33</v>
          </cell>
          <cell r="J1078">
            <v>27</v>
          </cell>
          <cell r="K1078">
            <v>19</v>
          </cell>
          <cell r="L1078">
            <v>21</v>
          </cell>
          <cell r="M1078">
            <v>29</v>
          </cell>
          <cell r="N1078" t="str">
            <v>(5116) Nursing</v>
          </cell>
        </row>
        <row r="1079">
          <cell r="F1079">
            <v>17</v>
          </cell>
          <cell r="G1079" t="str">
            <v>Mohawk Valley</v>
          </cell>
          <cell r="H1079">
            <v>46</v>
          </cell>
          <cell r="I1079">
            <v>53</v>
          </cell>
          <cell r="J1079">
            <v>64</v>
          </cell>
          <cell r="K1079">
            <v>59</v>
          </cell>
          <cell r="L1079">
            <v>47</v>
          </cell>
          <cell r="M1079">
            <v>63</v>
          </cell>
          <cell r="N1079" t="str">
            <v>(4301) Criminal Justice &amp; Corrections</v>
          </cell>
        </row>
        <row r="1080">
          <cell r="F1080">
            <v>18</v>
          </cell>
          <cell r="G1080" t="str">
            <v>Monroe</v>
          </cell>
          <cell r="H1080">
            <v>136</v>
          </cell>
          <cell r="I1080">
            <v>152</v>
          </cell>
          <cell r="J1080">
            <v>146</v>
          </cell>
          <cell r="K1080">
            <v>141</v>
          </cell>
          <cell r="L1080">
            <v>148</v>
          </cell>
          <cell r="M1080">
            <v>132</v>
          </cell>
          <cell r="N1080" t="str">
            <v>(5116) Nursing</v>
          </cell>
        </row>
        <row r="1081">
          <cell r="F1081">
            <v>19</v>
          </cell>
          <cell r="G1081" t="str">
            <v>Nassau</v>
          </cell>
          <cell r="H1081">
            <v>102</v>
          </cell>
          <cell r="I1081">
            <v>123</v>
          </cell>
          <cell r="J1081">
            <v>119</v>
          </cell>
          <cell r="K1081">
            <v>130</v>
          </cell>
          <cell r="L1081">
            <v>120</v>
          </cell>
          <cell r="M1081">
            <v>149</v>
          </cell>
          <cell r="N1081" t="str">
            <v>(4301) Criminal Justice &amp; Corrections</v>
          </cell>
        </row>
        <row r="1082">
          <cell r="F1082">
            <v>20</v>
          </cell>
          <cell r="G1082" t="str">
            <v>Niagara County</v>
          </cell>
          <cell r="H1082">
            <v>77</v>
          </cell>
          <cell r="I1082">
            <v>61</v>
          </cell>
          <cell r="J1082">
            <v>61</v>
          </cell>
          <cell r="K1082">
            <v>82</v>
          </cell>
          <cell r="L1082">
            <v>77</v>
          </cell>
          <cell r="M1082">
            <v>92</v>
          </cell>
          <cell r="N1082" t="str">
            <v>(4301) Criminal Justice &amp; Corrections</v>
          </cell>
        </row>
        <row r="1083">
          <cell r="F1083">
            <v>21</v>
          </cell>
          <cell r="G1083" t="str">
            <v>North Country</v>
          </cell>
          <cell r="H1083">
            <v>26</v>
          </cell>
          <cell r="I1083">
            <v>29</v>
          </cell>
          <cell r="J1083">
            <v>25</v>
          </cell>
          <cell r="K1083">
            <v>13</v>
          </cell>
          <cell r="L1083">
            <v>15</v>
          </cell>
          <cell r="M1083">
            <v>19</v>
          </cell>
          <cell r="N1083" t="str">
            <v>(4301) Criminal Justice &amp; Corrections</v>
          </cell>
        </row>
        <row r="1084">
          <cell r="F1084">
            <v>22</v>
          </cell>
          <cell r="G1084" t="str">
            <v>Onondaga</v>
          </cell>
          <cell r="H1084">
            <v>51</v>
          </cell>
          <cell r="I1084">
            <v>54</v>
          </cell>
          <cell r="J1084">
            <v>59</v>
          </cell>
          <cell r="K1084">
            <v>49</v>
          </cell>
          <cell r="L1084">
            <v>59</v>
          </cell>
          <cell r="M1084">
            <v>88</v>
          </cell>
          <cell r="N1084" t="str">
            <v>(4402) Community Organization &amp; Advocacy</v>
          </cell>
        </row>
        <row r="1085">
          <cell r="F1085">
            <v>23</v>
          </cell>
          <cell r="G1085" t="str">
            <v>Orange County</v>
          </cell>
          <cell r="H1085">
            <v>40</v>
          </cell>
          <cell r="I1085">
            <v>49</v>
          </cell>
          <cell r="J1085">
            <v>37</v>
          </cell>
          <cell r="K1085">
            <v>54</v>
          </cell>
          <cell r="L1085">
            <v>58</v>
          </cell>
          <cell r="M1085">
            <v>64</v>
          </cell>
          <cell r="N1085" t="str">
            <v>(4301) Criminal Justice &amp; Corrections</v>
          </cell>
        </row>
        <row r="1086">
          <cell r="F1086">
            <v>24</v>
          </cell>
          <cell r="G1086" t="str">
            <v>Rockland</v>
          </cell>
          <cell r="H1086">
            <v>33</v>
          </cell>
          <cell r="I1086">
            <v>43</v>
          </cell>
          <cell r="J1086">
            <v>35</v>
          </cell>
          <cell r="K1086">
            <v>37</v>
          </cell>
          <cell r="L1086">
            <v>31</v>
          </cell>
          <cell r="M1086">
            <v>55</v>
          </cell>
          <cell r="N1086" t="str">
            <v>(4301) Criminal Justice &amp; Corrections</v>
          </cell>
        </row>
        <row r="1087">
          <cell r="F1087">
            <v>25</v>
          </cell>
          <cell r="G1087" t="str">
            <v>Schenectady County</v>
          </cell>
          <cell r="H1087">
            <v>39</v>
          </cell>
          <cell r="I1087">
            <v>45</v>
          </cell>
          <cell r="J1087">
            <v>53</v>
          </cell>
          <cell r="K1087">
            <v>47</v>
          </cell>
          <cell r="L1087">
            <v>54</v>
          </cell>
          <cell r="M1087">
            <v>56</v>
          </cell>
          <cell r="N1087" t="str">
            <v>(4301) Criminal Justice &amp; Corrections</v>
          </cell>
        </row>
        <row r="1088">
          <cell r="F1088">
            <v>26</v>
          </cell>
          <cell r="G1088" t="str">
            <v>Suffolk County</v>
          </cell>
          <cell r="H1088">
            <v>132</v>
          </cell>
          <cell r="I1088">
            <v>139</v>
          </cell>
          <cell r="J1088">
            <v>158</v>
          </cell>
          <cell r="K1088">
            <v>156</v>
          </cell>
          <cell r="L1088">
            <v>138</v>
          </cell>
          <cell r="M1088">
            <v>148</v>
          </cell>
          <cell r="N1088" t="str">
            <v>(4301) Criminal Justice &amp; Corrections</v>
          </cell>
        </row>
        <row r="1089">
          <cell r="F1089">
            <v>27</v>
          </cell>
          <cell r="G1089" t="str">
            <v>Sullivan County</v>
          </cell>
          <cell r="H1089">
            <v>16</v>
          </cell>
          <cell r="I1089">
            <v>10</v>
          </cell>
          <cell r="J1089">
            <v>9</v>
          </cell>
          <cell r="K1089">
            <v>12</v>
          </cell>
          <cell r="L1089">
            <v>20</v>
          </cell>
          <cell r="M1089">
            <v>10</v>
          </cell>
          <cell r="N1089" t="str">
            <v>(5004) Design &amp; Applied Arts</v>
          </cell>
        </row>
        <row r="1090">
          <cell r="F1090">
            <v>28</v>
          </cell>
          <cell r="G1090" t="str">
            <v>Tompkins Cortland</v>
          </cell>
          <cell r="H1090">
            <v>41</v>
          </cell>
          <cell r="I1090">
            <v>55</v>
          </cell>
          <cell r="J1090">
            <v>44</v>
          </cell>
          <cell r="K1090">
            <v>42</v>
          </cell>
          <cell r="L1090">
            <v>29</v>
          </cell>
          <cell r="M1090">
            <v>56</v>
          </cell>
          <cell r="N1090" t="str">
            <v>(4301) Criminal Justice &amp; Corrections</v>
          </cell>
        </row>
        <row r="1091">
          <cell r="F1091">
            <v>29</v>
          </cell>
          <cell r="G1091" t="str">
            <v>Ulster County</v>
          </cell>
          <cell r="H1091">
            <v>23</v>
          </cell>
          <cell r="I1091">
            <v>23</v>
          </cell>
          <cell r="J1091">
            <v>25</v>
          </cell>
          <cell r="K1091">
            <v>16</v>
          </cell>
          <cell r="L1091">
            <v>32</v>
          </cell>
          <cell r="M1091">
            <v>27</v>
          </cell>
          <cell r="N1091" t="str">
            <v>(5202) Business Administration, Management &amp; Operations</v>
          </cell>
        </row>
        <row r="1092">
          <cell r="F1092">
            <v>30</v>
          </cell>
          <cell r="G1092" t="str">
            <v>Westchester</v>
          </cell>
          <cell r="H1092">
            <v>47</v>
          </cell>
          <cell r="I1092">
            <v>57</v>
          </cell>
          <cell r="J1092">
            <v>66</v>
          </cell>
          <cell r="K1092">
            <v>50</v>
          </cell>
          <cell r="L1092">
            <v>75</v>
          </cell>
          <cell r="M1092">
            <v>55</v>
          </cell>
          <cell r="N1092" t="str">
            <v>(5109) Allied Health Diagnostic, Intervention, &amp; Treatment Professions</v>
          </cell>
        </row>
        <row r="1094">
          <cell r="F1094">
            <v>0</v>
          </cell>
          <cell r="G1094" t="str">
            <v>Community Colleges</v>
          </cell>
        </row>
        <row r="1095">
          <cell r="F1095">
            <v>1</v>
          </cell>
          <cell r="G1095" t="str">
            <v>Adirondack</v>
          </cell>
          <cell r="H1095">
            <v>17</v>
          </cell>
          <cell r="I1095">
            <v>15</v>
          </cell>
          <cell r="J1095">
            <v>16</v>
          </cell>
          <cell r="K1095">
            <v>18</v>
          </cell>
          <cell r="L1095">
            <v>20</v>
          </cell>
          <cell r="M1095">
            <v>20</v>
          </cell>
          <cell r="N1095" t="str">
            <v>(0901) Communication &amp; Media Studies</v>
          </cell>
        </row>
        <row r="1096">
          <cell r="F1096">
            <v>2</v>
          </cell>
          <cell r="G1096" t="str">
            <v>Broome</v>
          </cell>
          <cell r="H1096">
            <v>28</v>
          </cell>
          <cell r="I1096">
            <v>27</v>
          </cell>
          <cell r="J1096">
            <v>27</v>
          </cell>
          <cell r="K1096">
            <v>29</v>
          </cell>
          <cell r="L1096">
            <v>49</v>
          </cell>
          <cell r="M1096">
            <v>65</v>
          </cell>
          <cell r="N1096" t="str">
            <v>(5110) Clinical/Medical Laboratory Science &amp; Allied Professions</v>
          </cell>
        </row>
        <row r="1097">
          <cell r="F1097">
            <v>3</v>
          </cell>
          <cell r="G1097" t="str">
            <v>Cayuga County</v>
          </cell>
          <cell r="H1097">
            <v>26</v>
          </cell>
          <cell r="I1097">
            <v>26</v>
          </cell>
          <cell r="J1097">
            <v>23</v>
          </cell>
          <cell r="K1097">
            <v>19</v>
          </cell>
          <cell r="L1097">
            <v>5</v>
          </cell>
          <cell r="M1097">
            <v>11</v>
          </cell>
          <cell r="N1097" t="str">
            <v>(0999) Communication, Journalism, &amp; Related Programs, Other</v>
          </cell>
        </row>
        <row r="1098">
          <cell r="F1098">
            <v>4</v>
          </cell>
          <cell r="G1098" t="str">
            <v>Clinton</v>
          </cell>
          <cell r="H1098">
            <v>15</v>
          </cell>
          <cell r="I1098">
            <v>14</v>
          </cell>
          <cell r="J1098">
            <v>14</v>
          </cell>
          <cell r="K1098">
            <v>7</v>
          </cell>
          <cell r="L1098">
            <v>13</v>
          </cell>
          <cell r="M1098">
            <v>9</v>
          </cell>
          <cell r="N1098" t="str">
            <v>(4402) Community Organization &amp; Advocacy</v>
          </cell>
        </row>
        <row r="1099">
          <cell r="F1099">
            <v>5</v>
          </cell>
          <cell r="G1099" t="str">
            <v>Columbia-Greene</v>
          </cell>
          <cell r="H1099">
            <v>29</v>
          </cell>
          <cell r="I1099">
            <v>14</v>
          </cell>
          <cell r="J1099">
            <v>18</v>
          </cell>
          <cell r="K1099">
            <v>17</v>
          </cell>
          <cell r="L1099">
            <v>13</v>
          </cell>
          <cell r="M1099">
            <v>9</v>
          </cell>
          <cell r="N1099" t="str">
            <v>(5123) Rehabilitation &amp; Therapeutic Professions</v>
          </cell>
        </row>
        <row r="1100">
          <cell r="F1100">
            <v>6</v>
          </cell>
          <cell r="G1100" t="str">
            <v>Corning</v>
          </cell>
          <cell r="H1100">
            <v>29</v>
          </cell>
          <cell r="I1100">
            <v>36</v>
          </cell>
          <cell r="J1100">
            <v>52</v>
          </cell>
          <cell r="K1100">
            <v>31</v>
          </cell>
          <cell r="L1100">
            <v>32</v>
          </cell>
          <cell r="M1100">
            <v>30</v>
          </cell>
          <cell r="N1100" t="str">
            <v>(4402) Community Organization &amp; Advocacy</v>
          </cell>
        </row>
        <row r="1101">
          <cell r="F1101">
            <v>7</v>
          </cell>
          <cell r="G1101" t="str">
            <v>Dutchess</v>
          </cell>
          <cell r="H1101">
            <v>45</v>
          </cell>
          <cell r="I1101">
            <v>52</v>
          </cell>
          <cell r="J1101">
            <v>73</v>
          </cell>
          <cell r="K1101">
            <v>62</v>
          </cell>
          <cell r="L1101">
            <v>62</v>
          </cell>
          <cell r="M1101">
            <v>83</v>
          </cell>
          <cell r="N1101" t="str">
            <v>(4301) Criminal Justice &amp; Corrections</v>
          </cell>
        </row>
        <row r="1102">
          <cell r="F1102">
            <v>8</v>
          </cell>
          <cell r="G1102" t="str">
            <v>Erie</v>
          </cell>
          <cell r="H1102">
            <v>73</v>
          </cell>
          <cell r="I1102">
            <v>64</v>
          </cell>
          <cell r="J1102">
            <v>58</v>
          </cell>
          <cell r="K1102">
            <v>72</v>
          </cell>
          <cell r="L1102">
            <v>77</v>
          </cell>
          <cell r="M1102">
            <v>75</v>
          </cell>
          <cell r="N1102" t="str">
            <v>(5106) Dental Support Services &amp; Allied Professions</v>
          </cell>
        </row>
        <row r="1103">
          <cell r="F1103">
            <v>9</v>
          </cell>
          <cell r="G1103" t="str">
            <v>Fashion Institute</v>
          </cell>
          <cell r="H1103">
            <v>102</v>
          </cell>
          <cell r="I1103">
            <v>87</v>
          </cell>
          <cell r="J1103">
            <v>101</v>
          </cell>
          <cell r="K1103">
            <v>74</v>
          </cell>
          <cell r="L1103">
            <v>96</v>
          </cell>
          <cell r="M1103">
            <v>97</v>
          </cell>
          <cell r="N1103" t="str">
            <v>(5214) Marketing</v>
          </cell>
        </row>
        <row r="1104">
          <cell r="F1104">
            <v>10</v>
          </cell>
          <cell r="G1104" t="str">
            <v>Finger Lakes</v>
          </cell>
          <cell r="H1104">
            <v>53</v>
          </cell>
          <cell r="I1104">
            <v>47</v>
          </cell>
          <cell r="J1104">
            <v>44</v>
          </cell>
          <cell r="K1104">
            <v>39</v>
          </cell>
          <cell r="L1104">
            <v>42</v>
          </cell>
          <cell r="M1104">
            <v>53</v>
          </cell>
          <cell r="N1104" t="str">
            <v>(0301) Natural Resources Conservation &amp; Research</v>
          </cell>
        </row>
        <row r="1105">
          <cell r="F1105">
            <v>11</v>
          </cell>
          <cell r="G1105" t="str">
            <v>Fulton-Montgomery</v>
          </cell>
          <cell r="H1105">
            <v>23</v>
          </cell>
          <cell r="I1105">
            <v>19</v>
          </cell>
          <cell r="J1105">
            <v>17</v>
          </cell>
          <cell r="K1105">
            <v>12</v>
          </cell>
          <cell r="L1105">
            <v>10</v>
          </cell>
          <cell r="M1105">
            <v>8</v>
          </cell>
          <cell r="N1105" t="str">
            <v>(1907) Human Development, Family Studies, &amp; Related Services</v>
          </cell>
        </row>
        <row r="1106">
          <cell r="F1106">
            <v>12</v>
          </cell>
          <cell r="G1106" t="str">
            <v>Genesee</v>
          </cell>
          <cell r="H1106">
            <v>42</v>
          </cell>
          <cell r="I1106">
            <v>53</v>
          </cell>
          <cell r="J1106">
            <v>31</v>
          </cell>
          <cell r="K1106">
            <v>51</v>
          </cell>
          <cell r="L1106">
            <v>46</v>
          </cell>
          <cell r="M1106">
            <v>42</v>
          </cell>
          <cell r="N1106" t="str">
            <v>(4402) Community Organization &amp; Advocacy</v>
          </cell>
        </row>
        <row r="1107">
          <cell r="F1107">
            <v>13</v>
          </cell>
          <cell r="G1107" t="str">
            <v>Herkimer County</v>
          </cell>
          <cell r="H1107">
            <v>25</v>
          </cell>
          <cell r="I1107">
            <v>19</v>
          </cell>
          <cell r="J1107">
            <v>31</v>
          </cell>
          <cell r="K1107">
            <v>31</v>
          </cell>
          <cell r="L1107">
            <v>30</v>
          </cell>
          <cell r="M1107">
            <v>20</v>
          </cell>
          <cell r="N1107" t="str">
            <v>(5219) Specialized Sales, Merchandising &amp; Marketing Operations</v>
          </cell>
        </row>
        <row r="1108">
          <cell r="F1108">
            <v>14</v>
          </cell>
          <cell r="G1108" t="str">
            <v>Hudson Valley</v>
          </cell>
          <cell r="H1108">
            <v>56</v>
          </cell>
          <cell r="I1108">
            <v>42</v>
          </cell>
          <cell r="J1108">
            <v>60</v>
          </cell>
          <cell r="K1108">
            <v>59</v>
          </cell>
          <cell r="L1108">
            <v>56</v>
          </cell>
          <cell r="M1108">
            <v>104</v>
          </cell>
          <cell r="N1108" t="str">
            <v>(4603) Electrical &amp; Power Transmission Installers</v>
          </cell>
        </row>
        <row r="1109">
          <cell r="F1109">
            <v>15</v>
          </cell>
          <cell r="G1109" t="str">
            <v>Jamestown</v>
          </cell>
          <cell r="H1109">
            <v>46</v>
          </cell>
          <cell r="I1109">
            <v>34</v>
          </cell>
          <cell r="J1109">
            <v>28</v>
          </cell>
          <cell r="K1109">
            <v>39</v>
          </cell>
          <cell r="L1109">
            <v>30</v>
          </cell>
          <cell r="M1109">
            <v>32</v>
          </cell>
          <cell r="N1109" t="str">
            <v>(4402) Community Organization &amp; Advocacy</v>
          </cell>
        </row>
        <row r="1110">
          <cell r="F1110">
            <v>16</v>
          </cell>
          <cell r="G1110" t="str">
            <v>Jefferson</v>
          </cell>
          <cell r="H1110">
            <v>33</v>
          </cell>
          <cell r="I1110">
            <v>16</v>
          </cell>
          <cell r="J1110">
            <v>15</v>
          </cell>
          <cell r="K1110">
            <v>23</v>
          </cell>
          <cell r="L1110">
            <v>21</v>
          </cell>
          <cell r="M1110">
            <v>13</v>
          </cell>
          <cell r="N1110" t="str">
            <v>(4402) Community Organization &amp; Advocacy</v>
          </cell>
        </row>
        <row r="1111">
          <cell r="F1111">
            <v>17</v>
          </cell>
          <cell r="G1111" t="str">
            <v>Mohawk Valley</v>
          </cell>
          <cell r="H1111">
            <v>43</v>
          </cell>
          <cell r="I1111">
            <v>44</v>
          </cell>
          <cell r="J1111">
            <v>36</v>
          </cell>
          <cell r="K1111">
            <v>44</v>
          </cell>
          <cell r="L1111">
            <v>47</v>
          </cell>
          <cell r="M1111">
            <v>52</v>
          </cell>
          <cell r="N1111" t="str">
            <v>(5207) Entrepreneurial &amp; Small Business Operations</v>
          </cell>
        </row>
        <row r="1112">
          <cell r="F1112">
            <v>18</v>
          </cell>
          <cell r="G1112" t="str">
            <v>Monroe</v>
          </cell>
          <cell r="H1112">
            <v>94</v>
          </cell>
          <cell r="I1112">
            <v>87</v>
          </cell>
          <cell r="J1112">
            <v>97</v>
          </cell>
          <cell r="K1112">
            <v>93</v>
          </cell>
          <cell r="L1112">
            <v>67</v>
          </cell>
          <cell r="M1112">
            <v>83</v>
          </cell>
          <cell r="N1112" t="str">
            <v>(4402) Community Organization &amp; Advocacy</v>
          </cell>
        </row>
        <row r="1113">
          <cell r="F1113">
            <v>19</v>
          </cell>
          <cell r="G1113" t="str">
            <v>Nassau</v>
          </cell>
          <cell r="H1113">
            <v>102</v>
          </cell>
          <cell r="I1113">
            <v>107</v>
          </cell>
          <cell r="J1113">
            <v>87</v>
          </cell>
          <cell r="K1113">
            <v>92</v>
          </cell>
          <cell r="L1113">
            <v>82</v>
          </cell>
          <cell r="M1113">
            <v>92</v>
          </cell>
          <cell r="N1113" t="str">
            <v>(2203) Legal Support Services</v>
          </cell>
        </row>
        <row r="1114">
          <cell r="F1114">
            <v>20</v>
          </cell>
          <cell r="G1114" t="str">
            <v>Niagara County</v>
          </cell>
          <cell r="H1114">
            <v>39</v>
          </cell>
          <cell r="I1114">
            <v>39</v>
          </cell>
          <cell r="J1114">
            <v>55</v>
          </cell>
          <cell r="K1114">
            <v>67</v>
          </cell>
          <cell r="L1114">
            <v>75</v>
          </cell>
          <cell r="M1114">
            <v>82</v>
          </cell>
          <cell r="N1114" t="str">
            <v>(5109) Allied Health Diagnostic, Intervention, &amp; Treatment Professions</v>
          </cell>
        </row>
        <row r="1115">
          <cell r="F1115">
            <v>21</v>
          </cell>
          <cell r="G1115" t="str">
            <v>North Country</v>
          </cell>
          <cell r="H1115">
            <v>22</v>
          </cell>
          <cell r="I1115">
            <v>16</v>
          </cell>
          <cell r="J1115">
            <v>22</v>
          </cell>
          <cell r="K1115">
            <v>16</v>
          </cell>
          <cell r="L1115">
            <v>20</v>
          </cell>
          <cell r="M1115">
            <v>25</v>
          </cell>
          <cell r="N1115" t="str">
            <v>(5109) Allied Health Diagnostic, Intervention, &amp; Treatment Professions</v>
          </cell>
        </row>
        <row r="1116">
          <cell r="F1116">
            <v>22</v>
          </cell>
          <cell r="G1116" t="str">
            <v>Onondaga</v>
          </cell>
          <cell r="H1116">
            <v>43</v>
          </cell>
          <cell r="I1116">
            <v>50</v>
          </cell>
          <cell r="J1116">
            <v>45</v>
          </cell>
          <cell r="K1116">
            <v>39</v>
          </cell>
          <cell r="L1116">
            <v>36</v>
          </cell>
          <cell r="M1116">
            <v>54</v>
          </cell>
          <cell r="N1116" t="str">
            <v>(5116) Nursing</v>
          </cell>
        </row>
        <row r="1117">
          <cell r="F1117">
            <v>23</v>
          </cell>
          <cell r="G1117" t="str">
            <v>Orange County</v>
          </cell>
          <cell r="H1117">
            <v>28</v>
          </cell>
          <cell r="I1117">
            <v>28</v>
          </cell>
          <cell r="J1117">
            <v>36</v>
          </cell>
          <cell r="K1117">
            <v>38</v>
          </cell>
          <cell r="L1117">
            <v>37</v>
          </cell>
          <cell r="M1117">
            <v>39</v>
          </cell>
          <cell r="N1117" t="str">
            <v>(5108) Allied Health &amp; Medical Assisting Services</v>
          </cell>
        </row>
        <row r="1118">
          <cell r="F1118">
            <v>24</v>
          </cell>
          <cell r="G1118" t="str">
            <v>Rockland</v>
          </cell>
          <cell r="H1118">
            <v>26</v>
          </cell>
          <cell r="I1118">
            <v>22</v>
          </cell>
          <cell r="J1118">
            <v>27</v>
          </cell>
          <cell r="K1118">
            <v>26</v>
          </cell>
          <cell r="L1118">
            <v>18</v>
          </cell>
          <cell r="M1118">
            <v>24</v>
          </cell>
          <cell r="N1118" t="str">
            <v>(2203) Legal Support Services</v>
          </cell>
        </row>
        <row r="1119">
          <cell r="F1119">
            <v>25</v>
          </cell>
          <cell r="G1119" t="str">
            <v>Schenectady County</v>
          </cell>
          <cell r="H1119">
            <v>37</v>
          </cell>
          <cell r="I1119">
            <v>29</v>
          </cell>
          <cell r="J1119">
            <v>25</v>
          </cell>
          <cell r="K1119">
            <v>34</v>
          </cell>
          <cell r="L1119">
            <v>29</v>
          </cell>
          <cell r="M1119">
            <v>27</v>
          </cell>
          <cell r="N1119" t="str">
            <v>(5209) Hospitality Administration/Management</v>
          </cell>
        </row>
        <row r="1120">
          <cell r="F1120">
            <v>26</v>
          </cell>
          <cell r="G1120" t="str">
            <v>Suffolk County</v>
          </cell>
          <cell r="H1120">
            <v>101</v>
          </cell>
          <cell r="I1120">
            <v>106</v>
          </cell>
          <cell r="J1120">
            <v>110</v>
          </cell>
          <cell r="K1120">
            <v>119</v>
          </cell>
          <cell r="L1120">
            <v>134</v>
          </cell>
          <cell r="M1120">
            <v>129</v>
          </cell>
          <cell r="N1120" t="str">
            <v>(5203) Accounting &amp; Related Services</v>
          </cell>
        </row>
        <row r="1121">
          <cell r="F1121">
            <v>27</v>
          </cell>
          <cell r="G1121" t="str">
            <v>Sullivan County</v>
          </cell>
          <cell r="H1121">
            <v>11</v>
          </cell>
          <cell r="I1121">
            <v>4</v>
          </cell>
          <cell r="J1121">
            <v>12</v>
          </cell>
          <cell r="K1121">
            <v>15</v>
          </cell>
          <cell r="L1121">
            <v>22</v>
          </cell>
          <cell r="M1121">
            <v>12</v>
          </cell>
          <cell r="N1121" t="str">
            <v>(4301) Criminal Justice &amp; Corrections</v>
          </cell>
        </row>
        <row r="1122">
          <cell r="F1122">
            <v>28</v>
          </cell>
          <cell r="G1122" t="str">
            <v>Tompkins Cortland</v>
          </cell>
          <cell r="H1122">
            <v>23</v>
          </cell>
          <cell r="I1122">
            <v>11</v>
          </cell>
          <cell r="J1122">
            <v>37</v>
          </cell>
          <cell r="K1122">
            <v>20</v>
          </cell>
          <cell r="L1122">
            <v>34</v>
          </cell>
          <cell r="M1122">
            <v>31</v>
          </cell>
          <cell r="N1122" t="str">
            <v>(5211) International Business</v>
          </cell>
        </row>
        <row r="1123">
          <cell r="F1123">
            <v>29</v>
          </cell>
          <cell r="G1123" t="str">
            <v>Ulster County</v>
          </cell>
          <cell r="H1123">
            <v>17</v>
          </cell>
          <cell r="I1123">
            <v>28</v>
          </cell>
          <cell r="J1123">
            <v>16</v>
          </cell>
          <cell r="K1123">
            <v>17</v>
          </cell>
          <cell r="L1123">
            <v>22</v>
          </cell>
          <cell r="M1123">
            <v>25</v>
          </cell>
          <cell r="N1123" t="str">
            <v>(1312) Teacher Education &amp; Prof. Development, Specific Levels &amp; Methods</v>
          </cell>
        </row>
        <row r="1124">
          <cell r="F1124">
            <v>30</v>
          </cell>
          <cell r="G1124" t="str">
            <v>Westchester</v>
          </cell>
          <cell r="H1124">
            <v>69</v>
          </cell>
          <cell r="I1124">
            <v>51</v>
          </cell>
          <cell r="J1124">
            <v>53</v>
          </cell>
          <cell r="K1124">
            <v>53</v>
          </cell>
          <cell r="L1124">
            <v>64</v>
          </cell>
          <cell r="M1124">
            <v>60</v>
          </cell>
          <cell r="N1124" t="str">
            <v>(5203) Accounting &amp; Related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D81"/>
  <sheetViews>
    <sheetView showGridLines="0" topLeftCell="D1" workbookViewId="0">
      <selection activeCell="F83" sqref="F83"/>
    </sheetView>
  </sheetViews>
  <sheetFormatPr defaultRowHeight="12.75"/>
  <cols>
    <col min="1" max="1" width="9.140625" hidden="1" customWidth="1"/>
    <col min="2" max="2" width="6.28515625" hidden="1" customWidth="1"/>
    <col min="3" max="3" width="7.7109375" hidden="1" customWidth="1"/>
    <col min="4" max="4" width="7.7109375" customWidth="1"/>
    <col min="5" max="5" width="3.85546875" customWidth="1"/>
    <col min="6" max="6" width="46.140625" customWidth="1"/>
    <col min="7" max="7" width="40" customWidth="1"/>
    <col min="8" max="9" width="3.140625" customWidth="1"/>
    <col min="10" max="10" width="11.7109375" hidden="1" customWidth="1"/>
    <col min="11" max="11" width="32.85546875" hidden="1" customWidth="1"/>
    <col min="12" max="12" width="11.7109375" hidden="1" customWidth="1"/>
    <col min="13" max="14" width="18.42578125" hidden="1" customWidth="1"/>
    <col min="15" max="15" width="12.140625" hidden="1" customWidth="1"/>
    <col min="16" max="16" width="32.140625" hidden="1" customWidth="1"/>
    <col min="17" max="17" width="17.28515625" hidden="1" customWidth="1"/>
    <col min="18" max="18" width="31.7109375" hidden="1" customWidth="1"/>
    <col min="19" max="19" width="9.140625" hidden="1" customWidth="1"/>
    <col min="20" max="24" width="9.140625" customWidth="1"/>
    <col min="25" max="25" width="32.140625" customWidth="1"/>
    <col min="26" max="28" width="9.140625" customWidth="1"/>
    <col min="29" max="29" width="24.140625" customWidth="1"/>
    <col min="30" max="31" width="9.140625" customWidth="1"/>
  </cols>
  <sheetData>
    <row r="1" spans="2:30" ht="13.5" thickBot="1"/>
    <row r="2" spans="2:30" ht="13.5" thickTop="1">
      <c r="E2" s="9"/>
      <c r="F2" s="10"/>
      <c r="G2" s="10"/>
      <c r="H2" s="10"/>
      <c r="I2" s="11"/>
    </row>
    <row r="3" spans="2:30" ht="15.75">
      <c r="E3" s="12"/>
      <c r="F3" s="13" t="s">
        <v>105</v>
      </c>
      <c r="G3" s="14" t="s">
        <v>165</v>
      </c>
      <c r="H3" s="15"/>
      <c r="I3" s="16"/>
    </row>
    <row r="4" spans="2:30" ht="15">
      <c r="E4" s="12"/>
      <c r="F4" s="17"/>
      <c r="G4" s="18"/>
      <c r="H4" s="15"/>
      <c r="I4" s="16"/>
    </row>
    <row r="5" spans="2:30" ht="18" hidden="1" customHeight="1">
      <c r="E5" s="12"/>
      <c r="F5" s="17" t="s">
        <v>589</v>
      </c>
      <c r="G5" s="18">
        <f>VLOOKUP($G$3,$K$14:$R$81,L$5,0)</f>
        <v>31</v>
      </c>
      <c r="H5" s="15"/>
      <c r="I5" s="16"/>
      <c r="K5">
        <v>1</v>
      </c>
      <c r="L5">
        <f>+K5+1</f>
        <v>2</v>
      </c>
      <c r="M5">
        <f t="shared" ref="M5:R5" si="0">+L5+1</f>
        <v>3</v>
      </c>
      <c r="N5">
        <f t="shared" si="0"/>
        <v>4</v>
      </c>
      <c r="O5">
        <f t="shared" si="0"/>
        <v>5</v>
      </c>
      <c r="P5">
        <f t="shared" si="0"/>
        <v>6</v>
      </c>
      <c r="Q5">
        <f t="shared" si="0"/>
        <v>7</v>
      </c>
      <c r="R5">
        <f t="shared" si="0"/>
        <v>8</v>
      </c>
    </row>
    <row r="6" spans="2:30" ht="18" hidden="1" customHeight="1">
      <c r="E6" s="12"/>
      <c r="F6" s="17" t="s">
        <v>252</v>
      </c>
      <c r="G6" s="18">
        <f>VLOOKUP(G5,J:S,10,0)</f>
        <v>25</v>
      </c>
      <c r="H6" s="592"/>
      <c r="I6" s="593"/>
      <c r="J6" s="594"/>
      <c r="K6" s="594"/>
      <c r="L6" s="594"/>
      <c r="M6" s="594"/>
      <c r="N6" s="594"/>
      <c r="O6" s="594"/>
      <c r="P6" s="594"/>
      <c r="Q6" s="594"/>
      <c r="R6" s="594"/>
      <c r="S6" s="594"/>
      <c r="T6" s="594"/>
      <c r="U6" s="594"/>
      <c r="V6" s="594"/>
      <c r="W6" s="594"/>
      <c r="X6" s="594"/>
      <c r="Y6" s="594"/>
    </row>
    <row r="7" spans="2:30" ht="18" customHeight="1">
      <c r="E7" s="12"/>
      <c r="F7" s="17" t="s">
        <v>192</v>
      </c>
      <c r="G7" s="18" t="str">
        <f>VLOOKUP($G$3,$K$14:$R$81,N$5,0)</f>
        <v>State Operated</v>
      </c>
      <c r="H7" s="608"/>
      <c r="I7" s="593"/>
      <c r="K7" s="594"/>
      <c r="L7" s="594"/>
      <c r="M7" s="594"/>
      <c r="N7" s="594"/>
      <c r="O7" s="594"/>
      <c r="P7" s="594"/>
      <c r="Q7" s="594"/>
      <c r="R7" s="594"/>
      <c r="S7" s="594"/>
      <c r="T7" s="594"/>
      <c r="U7" s="594"/>
      <c r="V7" s="594"/>
      <c r="W7" s="594"/>
      <c r="X7" s="594"/>
      <c r="Y7" s="594"/>
    </row>
    <row r="8" spans="2:30" ht="18" customHeight="1">
      <c r="E8" s="12"/>
      <c r="F8" s="19" t="s">
        <v>193</v>
      </c>
      <c r="G8" s="18" t="str">
        <f>VLOOKUP($G$3,$K$14:$R$81,M$5,0)</f>
        <v>4-Year Campus</v>
      </c>
      <c r="H8" s="608"/>
      <c r="I8" s="593"/>
      <c r="J8" s="594"/>
      <c r="K8" s="594"/>
      <c r="L8" s="594"/>
      <c r="M8" s="594"/>
      <c r="N8" s="594"/>
      <c r="O8" s="594"/>
      <c r="P8" s="594"/>
      <c r="Q8" s="594"/>
      <c r="R8" s="594"/>
      <c r="S8" s="594"/>
      <c r="T8" s="594"/>
      <c r="U8" s="594"/>
      <c r="V8" s="594"/>
      <c r="W8" s="594"/>
      <c r="X8" s="594"/>
      <c r="Y8" s="594"/>
    </row>
    <row r="9" spans="2:30" ht="18" customHeight="1">
      <c r="E9" s="12"/>
      <c r="F9" s="17" t="s">
        <v>25</v>
      </c>
      <c r="G9" s="18" t="str">
        <f>VLOOKUP($G$3,$K$14:$R$81,P$5,0)</f>
        <v>Technology Colleges</v>
      </c>
      <c r="H9" s="605" t="str">
        <f>VLOOKUP($G$3,$K$14:$R$81,O$5,0)</f>
        <v>3</v>
      </c>
      <c r="I9" s="593"/>
      <c r="J9" s="594">
        <f>VLOOKUP($G$9,$Y$15:$Z$18,2,0)</f>
        <v>90</v>
      </c>
      <c r="K9" s="594"/>
      <c r="L9" s="594"/>
      <c r="M9" s="594"/>
      <c r="N9" s="594"/>
      <c r="O9" s="594"/>
      <c r="P9" s="594"/>
      <c r="Q9" s="594"/>
      <c r="R9" s="594"/>
      <c r="S9" s="594"/>
      <c r="T9" s="594"/>
      <c r="U9" s="594"/>
      <c r="V9" s="594"/>
      <c r="W9" s="594"/>
      <c r="X9" s="594"/>
      <c r="Y9" s="594"/>
    </row>
    <row r="10" spans="2:30" ht="18" hidden="1" customHeight="1">
      <c r="E10" s="12"/>
      <c r="F10" s="17" t="s">
        <v>194</v>
      </c>
      <c r="G10" s="18" t="str">
        <f>VLOOKUP($G$3,$K$14:$R$81,R$5,0)</f>
        <v>Not Applicable</v>
      </c>
      <c r="H10" s="605" t="str">
        <f>VLOOKUP($G$3,$K$14:$R$81,Q$5,0)</f>
        <v>0</v>
      </c>
      <c r="I10" s="593"/>
      <c r="J10" s="594"/>
      <c r="K10" s="594"/>
      <c r="L10" s="594"/>
      <c r="M10" s="594"/>
      <c r="N10" s="594"/>
      <c r="O10" s="594"/>
      <c r="P10" s="594"/>
      <c r="Q10" s="594"/>
      <c r="R10" s="594"/>
      <c r="S10" s="594"/>
      <c r="T10" s="594"/>
      <c r="U10" s="594"/>
      <c r="V10" s="594"/>
      <c r="W10" s="594"/>
      <c r="X10" s="594"/>
      <c r="Y10" s="594"/>
    </row>
    <row r="11" spans="2:30" ht="13.5" thickBot="1">
      <c r="E11" s="20"/>
      <c r="F11" s="21"/>
      <c r="G11" s="21"/>
      <c r="H11" s="596"/>
      <c r="I11" s="597"/>
      <c r="J11" s="594"/>
      <c r="K11" s="594"/>
      <c r="L11" s="594"/>
      <c r="M11" s="594"/>
      <c r="N11" s="594"/>
      <c r="O11" s="594"/>
      <c r="P11" s="594"/>
      <c r="Q11" s="594"/>
      <c r="R11" s="594"/>
      <c r="S11" s="594"/>
      <c r="T11" s="594"/>
      <c r="U11" s="594"/>
      <c r="V11" s="594"/>
      <c r="W11" s="594"/>
      <c r="X11" s="594"/>
      <c r="Y11" s="594"/>
    </row>
    <row r="12" spans="2:30" ht="13.5" thickTop="1">
      <c r="J12" s="595" t="s">
        <v>191</v>
      </c>
    </row>
    <row r="13" spans="2:30" ht="39" hidden="1">
      <c r="B13" s="35" t="s">
        <v>259</v>
      </c>
      <c r="C13" s="35"/>
      <c r="D13" s="35"/>
      <c r="F13" s="4" t="s">
        <v>93</v>
      </c>
      <c r="G13" s="4" t="s">
        <v>205</v>
      </c>
      <c r="J13" s="6" t="s">
        <v>186</v>
      </c>
      <c r="K13" s="6" t="s">
        <v>185</v>
      </c>
      <c r="L13" s="5" t="s">
        <v>186</v>
      </c>
      <c r="M13" s="6" t="s">
        <v>184</v>
      </c>
      <c r="N13" s="5" t="s">
        <v>183</v>
      </c>
      <c r="O13" s="5" t="s">
        <v>182</v>
      </c>
      <c r="P13" s="5" t="s">
        <v>181</v>
      </c>
      <c r="Q13" s="5" t="s">
        <v>180</v>
      </c>
      <c r="R13" s="5" t="s">
        <v>179</v>
      </c>
      <c r="S13" s="31" t="s">
        <v>252</v>
      </c>
      <c r="Y13" s="26" t="s">
        <v>633</v>
      </c>
      <c r="AC13" s="26" t="s">
        <v>634</v>
      </c>
      <c r="AD13" s="603"/>
    </row>
    <row r="14" spans="2:30" s="23" customFormat="1" ht="37.5" hidden="1" customHeight="1">
      <c r="F14" s="24" t="s">
        <v>232</v>
      </c>
      <c r="G14" s="34" t="s">
        <v>258</v>
      </c>
      <c r="J14" s="23">
        <v>1</v>
      </c>
      <c r="K14" s="23" t="s">
        <v>147</v>
      </c>
      <c r="L14" s="23">
        <v>1</v>
      </c>
      <c r="M14" s="25" t="s">
        <v>112</v>
      </c>
      <c r="N14" s="23" t="s">
        <v>111</v>
      </c>
      <c r="O14" s="23" t="s">
        <v>110</v>
      </c>
      <c r="P14" s="23" t="s">
        <v>109</v>
      </c>
      <c r="Q14" s="23" t="s">
        <v>110</v>
      </c>
      <c r="R14" s="23" t="s">
        <v>137</v>
      </c>
      <c r="S14" s="43">
        <v>1</v>
      </c>
      <c r="AC14" s="604"/>
      <c r="AD14" s="603"/>
    </row>
    <row r="15" spans="2:30" ht="15.75" hidden="1">
      <c r="F15" s="22"/>
      <c r="G15" s="8"/>
      <c r="J15">
        <v>2</v>
      </c>
      <c r="K15" t="s">
        <v>178</v>
      </c>
      <c r="L15">
        <v>2</v>
      </c>
      <c r="M15" s="3" t="s">
        <v>112</v>
      </c>
      <c r="N15" t="s">
        <v>111</v>
      </c>
      <c r="O15" t="s">
        <v>110</v>
      </c>
      <c r="P15" t="s">
        <v>109</v>
      </c>
      <c r="Q15" t="s">
        <v>110</v>
      </c>
      <c r="R15" t="s">
        <v>137</v>
      </c>
      <c r="S15" s="43">
        <v>2</v>
      </c>
      <c r="Y15" s="598" t="s">
        <v>109</v>
      </c>
      <c r="Z15" s="598">
        <v>86</v>
      </c>
      <c r="AA15" s="598"/>
      <c r="AB15" s="598"/>
      <c r="AC15" s="603" t="s">
        <v>630</v>
      </c>
      <c r="AD15" s="603">
        <v>96</v>
      </c>
    </row>
    <row r="16" spans="2:30" ht="15.75" hidden="1">
      <c r="E16" s="22" t="s">
        <v>237</v>
      </c>
      <c r="F16" s="22"/>
      <c r="G16" s="8"/>
      <c r="J16">
        <v>4</v>
      </c>
      <c r="K16" t="s">
        <v>138</v>
      </c>
      <c r="L16">
        <v>4</v>
      </c>
      <c r="M16" s="3" t="s">
        <v>112</v>
      </c>
      <c r="N16" t="s">
        <v>111</v>
      </c>
      <c r="O16" t="s">
        <v>110</v>
      </c>
      <c r="P16" t="s">
        <v>109</v>
      </c>
      <c r="Q16" t="s">
        <v>110</v>
      </c>
      <c r="R16" t="s">
        <v>137</v>
      </c>
      <c r="S16" s="43">
        <v>3</v>
      </c>
      <c r="Y16" s="601" t="s">
        <v>127</v>
      </c>
      <c r="Z16" s="601">
        <v>89</v>
      </c>
      <c r="AA16" s="601"/>
      <c r="AB16" s="598"/>
      <c r="AC16" s="603" t="s">
        <v>631</v>
      </c>
      <c r="AD16" s="603">
        <v>97</v>
      </c>
    </row>
    <row r="17" spans="2:30" ht="15.75" hidden="1">
      <c r="B17">
        <f>+'Enrollment 5YR'!B1</f>
        <v>4</v>
      </c>
      <c r="E17" s="22"/>
      <c r="F17" t="s">
        <v>250</v>
      </c>
      <c r="G17" s="8" t="s">
        <v>197</v>
      </c>
      <c r="J17">
        <v>5</v>
      </c>
      <c r="K17" t="s">
        <v>141</v>
      </c>
      <c r="L17">
        <v>5</v>
      </c>
      <c r="M17" s="3" t="s">
        <v>112</v>
      </c>
      <c r="N17" t="s">
        <v>111</v>
      </c>
      <c r="O17" t="s">
        <v>110</v>
      </c>
      <c r="P17" t="s">
        <v>109</v>
      </c>
      <c r="Q17" t="s">
        <v>110</v>
      </c>
      <c r="R17" t="s">
        <v>137</v>
      </c>
      <c r="S17" s="43">
        <v>4</v>
      </c>
      <c r="Y17" s="601" t="s">
        <v>122</v>
      </c>
      <c r="Z17" s="601">
        <v>90</v>
      </c>
      <c r="AA17" s="601"/>
      <c r="AB17" s="598"/>
      <c r="AC17" s="603" t="s">
        <v>632</v>
      </c>
      <c r="AD17" s="603">
        <v>94</v>
      </c>
    </row>
    <row r="18" spans="2:30" ht="15.75" hidden="1">
      <c r="B18">
        <v>13</v>
      </c>
      <c r="E18" s="22"/>
      <c r="F18" t="s">
        <v>100</v>
      </c>
      <c r="G18" s="8" t="s">
        <v>484</v>
      </c>
      <c r="J18">
        <v>20</v>
      </c>
      <c r="K18" t="s">
        <v>169</v>
      </c>
      <c r="L18">
        <v>20</v>
      </c>
      <c r="M18" s="3" t="s">
        <v>112</v>
      </c>
      <c r="N18" t="s">
        <v>111</v>
      </c>
      <c r="O18" t="s">
        <v>110</v>
      </c>
      <c r="P18" t="s">
        <v>109</v>
      </c>
      <c r="Q18" t="s">
        <v>108</v>
      </c>
      <c r="R18" t="s">
        <v>107</v>
      </c>
      <c r="S18" s="43">
        <v>7</v>
      </c>
      <c r="Y18" s="601" t="s">
        <v>115</v>
      </c>
      <c r="Z18" s="601">
        <v>95</v>
      </c>
      <c r="AA18" s="601"/>
      <c r="AB18" s="598"/>
    </row>
    <row r="19" spans="2:30" ht="14.25" hidden="1">
      <c r="B19">
        <v>6</v>
      </c>
      <c r="F19" t="s">
        <v>96</v>
      </c>
      <c r="G19" s="8" t="s">
        <v>282</v>
      </c>
      <c r="J19">
        <v>23</v>
      </c>
      <c r="K19" t="s">
        <v>132</v>
      </c>
      <c r="L19">
        <v>23</v>
      </c>
      <c r="M19" s="3" t="s">
        <v>112</v>
      </c>
      <c r="N19" t="s">
        <v>111</v>
      </c>
      <c r="O19" t="s">
        <v>110</v>
      </c>
      <c r="P19" t="s">
        <v>109</v>
      </c>
      <c r="Q19" t="s">
        <v>108</v>
      </c>
      <c r="R19" t="s">
        <v>107</v>
      </c>
      <c r="S19" s="43">
        <v>8</v>
      </c>
      <c r="AA19" s="601"/>
      <c r="AB19" s="598"/>
      <c r="AC19" s="601"/>
      <c r="AD19" s="601"/>
    </row>
    <row r="20" spans="2:30" ht="15.75" hidden="1">
      <c r="B20">
        <v>7</v>
      </c>
      <c r="E20" s="22"/>
      <c r="F20" t="s">
        <v>97</v>
      </c>
      <c r="G20" s="8" t="s">
        <v>483</v>
      </c>
      <c r="J20">
        <v>26</v>
      </c>
      <c r="K20" t="s">
        <v>166</v>
      </c>
      <c r="L20">
        <v>26</v>
      </c>
      <c r="M20" s="3" t="s">
        <v>112</v>
      </c>
      <c r="N20" t="s">
        <v>111</v>
      </c>
      <c r="O20" t="s">
        <v>110</v>
      </c>
      <c r="P20" t="s">
        <v>109</v>
      </c>
      <c r="Q20" t="s">
        <v>108</v>
      </c>
      <c r="R20" t="s">
        <v>107</v>
      </c>
      <c r="S20" s="43">
        <v>9</v>
      </c>
      <c r="AA20" s="601"/>
      <c r="AB20" s="598"/>
      <c r="AC20" s="601"/>
      <c r="AD20" s="601"/>
    </row>
    <row r="21" spans="2:30" ht="15.75" hidden="1">
      <c r="B21">
        <v>8</v>
      </c>
      <c r="E21" s="22"/>
      <c r="F21" t="s">
        <v>268</v>
      </c>
      <c r="G21" s="8" t="s">
        <v>483</v>
      </c>
      <c r="J21">
        <v>22</v>
      </c>
      <c r="K21" t="s">
        <v>168</v>
      </c>
      <c r="L21">
        <v>22</v>
      </c>
      <c r="M21" s="3" t="s">
        <v>112</v>
      </c>
      <c r="N21" t="s">
        <v>111</v>
      </c>
      <c r="O21" t="s">
        <v>110</v>
      </c>
      <c r="P21" t="s">
        <v>109</v>
      </c>
      <c r="Q21" t="s">
        <v>108</v>
      </c>
      <c r="R21" t="s">
        <v>107</v>
      </c>
      <c r="S21" s="43">
        <v>10</v>
      </c>
      <c r="AA21" s="601"/>
      <c r="AB21" s="598"/>
      <c r="AC21" s="601"/>
      <c r="AD21" s="601"/>
    </row>
    <row r="22" spans="2:30" ht="14.25" hidden="1">
      <c r="B22">
        <v>2</v>
      </c>
      <c r="F22" t="s">
        <v>94</v>
      </c>
      <c r="G22" s="8" t="s">
        <v>196</v>
      </c>
      <c r="J22">
        <v>28</v>
      </c>
      <c r="K22" t="s">
        <v>663</v>
      </c>
      <c r="L22">
        <v>28</v>
      </c>
      <c r="M22" s="3" t="s">
        <v>112</v>
      </c>
      <c r="N22" t="s">
        <v>111</v>
      </c>
      <c r="O22" t="s">
        <v>110</v>
      </c>
      <c r="P22" t="s">
        <v>109</v>
      </c>
      <c r="Q22" t="s">
        <v>108</v>
      </c>
      <c r="R22" t="s">
        <v>107</v>
      </c>
      <c r="S22" s="43">
        <v>5</v>
      </c>
      <c r="AA22" s="601"/>
      <c r="AB22" s="598"/>
      <c r="AC22" s="601"/>
      <c r="AD22" s="601"/>
    </row>
    <row r="23" spans="2:30" ht="14.25" hidden="1">
      <c r="B23">
        <v>3</v>
      </c>
      <c r="F23" t="s">
        <v>95</v>
      </c>
      <c r="G23" s="8" t="s">
        <v>188</v>
      </c>
      <c r="J23">
        <v>165</v>
      </c>
      <c r="K23" t="s">
        <v>664</v>
      </c>
      <c r="L23">
        <v>165</v>
      </c>
      <c r="M23" s="3" t="s">
        <v>112</v>
      </c>
      <c r="N23" t="s">
        <v>111</v>
      </c>
      <c r="O23" t="s">
        <v>110</v>
      </c>
      <c r="P23" t="s">
        <v>109</v>
      </c>
      <c r="Q23" t="s">
        <v>108</v>
      </c>
      <c r="R23" t="s">
        <v>107</v>
      </c>
      <c r="S23" s="43">
        <v>6</v>
      </c>
      <c r="AA23" s="601"/>
      <c r="AB23" s="598"/>
      <c r="AC23" s="601"/>
      <c r="AD23" s="601"/>
    </row>
    <row r="24" spans="2:30" ht="15.75" hidden="1">
      <c r="E24" s="22"/>
      <c r="F24" s="30"/>
      <c r="G24" s="8"/>
      <c r="J24">
        <v>175</v>
      </c>
      <c r="K24" t="s">
        <v>144</v>
      </c>
      <c r="L24">
        <v>175</v>
      </c>
      <c r="M24" s="3" t="s">
        <v>112</v>
      </c>
      <c r="N24" t="s">
        <v>111</v>
      </c>
      <c r="O24" t="s">
        <v>108</v>
      </c>
      <c r="P24" t="s">
        <v>127</v>
      </c>
      <c r="Q24" t="s">
        <v>116</v>
      </c>
      <c r="R24" t="s">
        <v>106</v>
      </c>
      <c r="S24" s="43">
        <v>11</v>
      </c>
    </row>
    <row r="25" spans="2:30" ht="15.75" hidden="1">
      <c r="E25" s="22" t="s">
        <v>238</v>
      </c>
      <c r="F25" s="30"/>
      <c r="J25">
        <v>7</v>
      </c>
      <c r="K25" t="s">
        <v>177</v>
      </c>
      <c r="L25">
        <v>7</v>
      </c>
      <c r="M25" s="3" t="s">
        <v>112</v>
      </c>
      <c r="N25" t="s">
        <v>111</v>
      </c>
      <c r="O25" t="s">
        <v>108</v>
      </c>
      <c r="P25" t="s">
        <v>127</v>
      </c>
      <c r="Q25" t="s">
        <v>116</v>
      </c>
      <c r="R25" t="s">
        <v>106</v>
      </c>
      <c r="S25" s="43">
        <v>12</v>
      </c>
    </row>
    <row r="26" spans="2:30" ht="15.75" hidden="1">
      <c r="B26">
        <v>20</v>
      </c>
      <c r="E26" s="22"/>
      <c r="F26" t="s">
        <v>316</v>
      </c>
      <c r="G26" s="8" t="s">
        <v>188</v>
      </c>
      <c r="J26">
        <v>8</v>
      </c>
      <c r="K26" t="s">
        <v>176</v>
      </c>
      <c r="L26">
        <v>8</v>
      </c>
      <c r="M26" s="3" t="s">
        <v>112</v>
      </c>
      <c r="N26" t="s">
        <v>111</v>
      </c>
      <c r="O26" t="s">
        <v>108</v>
      </c>
      <c r="P26" t="s">
        <v>127</v>
      </c>
      <c r="Q26" t="s">
        <v>116</v>
      </c>
      <c r="R26" t="s">
        <v>106</v>
      </c>
      <c r="S26" s="43">
        <v>13</v>
      </c>
    </row>
    <row r="27" spans="2:30" ht="14.25" hidden="1">
      <c r="B27">
        <v>9</v>
      </c>
      <c r="F27" t="s">
        <v>317</v>
      </c>
      <c r="G27" s="8" t="s">
        <v>195</v>
      </c>
      <c r="J27">
        <v>9</v>
      </c>
      <c r="K27" t="s">
        <v>136</v>
      </c>
      <c r="L27">
        <v>9</v>
      </c>
      <c r="M27" s="3" t="s">
        <v>112</v>
      </c>
      <c r="N27" t="s">
        <v>111</v>
      </c>
      <c r="O27" t="s">
        <v>108</v>
      </c>
      <c r="P27" t="s">
        <v>127</v>
      </c>
      <c r="Q27" t="s">
        <v>116</v>
      </c>
      <c r="R27" t="s">
        <v>106</v>
      </c>
      <c r="S27" s="43">
        <v>14</v>
      </c>
    </row>
    <row r="28" spans="2:30" ht="14.25" hidden="1">
      <c r="B28">
        <v>10</v>
      </c>
      <c r="F28" t="s">
        <v>318</v>
      </c>
      <c r="G28" s="8" t="s">
        <v>195</v>
      </c>
      <c r="J28">
        <v>10</v>
      </c>
      <c r="K28" t="s">
        <v>175</v>
      </c>
      <c r="L28">
        <v>10</v>
      </c>
      <c r="M28" s="3" t="s">
        <v>112</v>
      </c>
      <c r="N28" t="s">
        <v>111</v>
      </c>
      <c r="O28" t="s">
        <v>108</v>
      </c>
      <c r="P28" t="s">
        <v>127</v>
      </c>
      <c r="Q28" t="s">
        <v>116</v>
      </c>
      <c r="R28" t="s">
        <v>106</v>
      </c>
      <c r="S28" s="43">
        <v>15</v>
      </c>
    </row>
    <row r="29" spans="2:30" ht="14.25" hidden="1">
      <c r="B29">
        <v>1</v>
      </c>
      <c r="F29" t="s">
        <v>319</v>
      </c>
      <c r="G29" s="8" t="s">
        <v>195</v>
      </c>
      <c r="J29">
        <v>11</v>
      </c>
      <c r="K29" t="s">
        <v>174</v>
      </c>
      <c r="L29">
        <v>11</v>
      </c>
      <c r="M29" s="3" t="s">
        <v>112</v>
      </c>
      <c r="N29" t="s">
        <v>111</v>
      </c>
      <c r="O29" t="s">
        <v>108</v>
      </c>
      <c r="P29" t="s">
        <v>127</v>
      </c>
      <c r="Q29" t="s">
        <v>116</v>
      </c>
      <c r="R29" t="s">
        <v>106</v>
      </c>
      <c r="S29" s="43">
        <v>16</v>
      </c>
    </row>
    <row r="30" spans="2:30" ht="14.25" hidden="1">
      <c r="B30">
        <v>15</v>
      </c>
      <c r="F30" t="s">
        <v>102</v>
      </c>
      <c r="G30" s="8" t="s">
        <v>195</v>
      </c>
      <c r="J30">
        <v>12</v>
      </c>
      <c r="K30" t="s">
        <v>173</v>
      </c>
      <c r="L30">
        <v>12</v>
      </c>
      <c r="M30" s="3" t="s">
        <v>112</v>
      </c>
      <c r="N30" t="s">
        <v>111</v>
      </c>
      <c r="O30" t="s">
        <v>108</v>
      </c>
      <c r="P30" t="s">
        <v>127</v>
      </c>
      <c r="Q30" t="s">
        <v>116</v>
      </c>
      <c r="R30" t="s">
        <v>106</v>
      </c>
      <c r="S30" s="43">
        <v>17</v>
      </c>
    </row>
    <row r="31" spans="2:30" ht="14.25" hidden="1">
      <c r="B31">
        <v>14</v>
      </c>
      <c r="F31" t="s">
        <v>101</v>
      </c>
      <c r="G31" s="8" t="s">
        <v>198</v>
      </c>
      <c r="J31">
        <v>13</v>
      </c>
      <c r="K31" t="s">
        <v>172</v>
      </c>
      <c r="L31">
        <v>13</v>
      </c>
      <c r="M31" s="3" t="s">
        <v>112</v>
      </c>
      <c r="N31" t="s">
        <v>111</v>
      </c>
      <c r="O31" t="s">
        <v>108</v>
      </c>
      <c r="P31" t="s">
        <v>127</v>
      </c>
      <c r="Q31" t="s">
        <v>116</v>
      </c>
      <c r="R31" t="s">
        <v>106</v>
      </c>
      <c r="S31" s="43">
        <v>18</v>
      </c>
    </row>
    <row r="32" spans="2:30" ht="15" hidden="1">
      <c r="F32" s="30"/>
      <c r="J32">
        <v>14</v>
      </c>
      <c r="K32" t="s">
        <v>171</v>
      </c>
      <c r="L32">
        <v>14</v>
      </c>
      <c r="M32" s="3" t="s">
        <v>112</v>
      </c>
      <c r="N32" t="s">
        <v>111</v>
      </c>
      <c r="O32" t="s">
        <v>108</v>
      </c>
      <c r="P32" t="s">
        <v>127</v>
      </c>
      <c r="Q32" t="s">
        <v>116</v>
      </c>
      <c r="R32" t="s">
        <v>106</v>
      </c>
      <c r="S32" s="43">
        <v>19</v>
      </c>
    </row>
    <row r="33" spans="2:19" ht="15.75" hidden="1">
      <c r="E33" s="22" t="s">
        <v>239</v>
      </c>
      <c r="F33" s="30"/>
      <c r="G33" s="8"/>
      <c r="J33">
        <v>15</v>
      </c>
      <c r="K33" t="s">
        <v>170</v>
      </c>
      <c r="L33">
        <v>15</v>
      </c>
      <c r="M33" s="3" t="s">
        <v>112</v>
      </c>
      <c r="N33" t="s">
        <v>111</v>
      </c>
      <c r="O33" t="s">
        <v>108</v>
      </c>
      <c r="P33" t="s">
        <v>127</v>
      </c>
      <c r="Q33" t="s">
        <v>116</v>
      </c>
      <c r="R33" t="s">
        <v>106</v>
      </c>
      <c r="S33" s="43">
        <v>20</v>
      </c>
    </row>
    <row r="34" spans="2:19" ht="14.25" hidden="1">
      <c r="B34">
        <v>11</v>
      </c>
      <c r="F34" t="s">
        <v>98</v>
      </c>
      <c r="G34" s="8" t="s">
        <v>199</v>
      </c>
      <c r="J34">
        <v>16</v>
      </c>
      <c r="K34" t="s">
        <v>130</v>
      </c>
      <c r="L34">
        <v>16</v>
      </c>
      <c r="M34" s="3" t="s">
        <v>112</v>
      </c>
      <c r="N34" t="s">
        <v>111</v>
      </c>
      <c r="O34" t="s">
        <v>108</v>
      </c>
      <c r="P34" t="s">
        <v>127</v>
      </c>
      <c r="Q34" t="s">
        <v>116</v>
      </c>
      <c r="R34" t="s">
        <v>106</v>
      </c>
      <c r="S34" s="43">
        <v>21</v>
      </c>
    </row>
    <row r="35" spans="2:19" ht="14.25" hidden="1">
      <c r="B35">
        <v>16</v>
      </c>
      <c r="F35" t="s">
        <v>103</v>
      </c>
      <c r="G35" s="8" t="s">
        <v>200</v>
      </c>
      <c r="J35">
        <v>17</v>
      </c>
      <c r="K35" t="s">
        <v>128</v>
      </c>
      <c r="L35">
        <v>17</v>
      </c>
      <c r="M35" s="3" t="s">
        <v>112</v>
      </c>
      <c r="N35" t="s">
        <v>111</v>
      </c>
      <c r="O35" t="s">
        <v>108</v>
      </c>
      <c r="P35" t="s">
        <v>127</v>
      </c>
      <c r="Q35" t="s">
        <v>116</v>
      </c>
      <c r="R35" t="s">
        <v>106</v>
      </c>
      <c r="S35" s="43">
        <v>22</v>
      </c>
    </row>
    <row r="36" spans="2:19" ht="15" hidden="1">
      <c r="F36" s="30"/>
      <c r="G36" s="2"/>
      <c r="J36">
        <v>18</v>
      </c>
      <c r="K36" t="s">
        <v>140</v>
      </c>
      <c r="L36">
        <v>18</v>
      </c>
      <c r="M36" s="3" t="s">
        <v>112</v>
      </c>
      <c r="N36" t="s">
        <v>111</v>
      </c>
      <c r="O36" t="s">
        <v>108</v>
      </c>
      <c r="P36" t="s">
        <v>127</v>
      </c>
      <c r="Q36" t="s">
        <v>116</v>
      </c>
      <c r="R36" t="s">
        <v>106</v>
      </c>
      <c r="S36" s="43">
        <v>23</v>
      </c>
    </row>
    <row r="37" spans="2:19" ht="15.75" hidden="1">
      <c r="E37" s="22" t="s">
        <v>240</v>
      </c>
      <c r="F37" s="30"/>
      <c r="G37" s="8"/>
      <c r="J37">
        <v>30</v>
      </c>
      <c r="K37" t="s">
        <v>125</v>
      </c>
      <c r="L37">
        <v>30</v>
      </c>
      <c r="M37" s="3" t="s">
        <v>112</v>
      </c>
      <c r="N37" t="s">
        <v>111</v>
      </c>
      <c r="O37" t="s">
        <v>114</v>
      </c>
      <c r="P37" t="s">
        <v>122</v>
      </c>
      <c r="Q37" t="s">
        <v>116</v>
      </c>
      <c r="R37" t="s">
        <v>106</v>
      </c>
      <c r="S37" s="43">
        <v>24</v>
      </c>
    </row>
    <row r="38" spans="2:19" ht="14.25" hidden="1">
      <c r="B38">
        <v>12</v>
      </c>
      <c r="F38" t="s">
        <v>99</v>
      </c>
      <c r="G38" s="8" t="s">
        <v>485</v>
      </c>
      <c r="J38">
        <v>31</v>
      </c>
      <c r="K38" t="s">
        <v>165</v>
      </c>
      <c r="L38">
        <v>31</v>
      </c>
      <c r="M38" s="3" t="s">
        <v>112</v>
      </c>
      <c r="N38" t="s">
        <v>111</v>
      </c>
      <c r="O38" t="s">
        <v>114</v>
      </c>
      <c r="P38" t="s">
        <v>122</v>
      </c>
      <c r="Q38" t="s">
        <v>116</v>
      </c>
      <c r="R38" t="s">
        <v>106</v>
      </c>
      <c r="S38" s="43">
        <v>25</v>
      </c>
    </row>
    <row r="39" spans="2:19" ht="15" hidden="1">
      <c r="F39" s="30"/>
      <c r="G39" s="2"/>
      <c r="J39">
        <v>32</v>
      </c>
      <c r="K39" t="s">
        <v>164</v>
      </c>
      <c r="L39">
        <v>32</v>
      </c>
      <c r="M39" s="3" t="s">
        <v>112</v>
      </c>
      <c r="N39" t="s">
        <v>111</v>
      </c>
      <c r="O39" t="s">
        <v>114</v>
      </c>
      <c r="P39" t="s">
        <v>122</v>
      </c>
      <c r="Q39" t="s">
        <v>116</v>
      </c>
      <c r="R39" t="s">
        <v>106</v>
      </c>
      <c r="S39" s="43">
        <v>26</v>
      </c>
    </row>
    <row r="40" spans="2:19" ht="15.75" hidden="1">
      <c r="E40" s="22" t="s">
        <v>241</v>
      </c>
      <c r="F40" s="30"/>
      <c r="G40" s="8"/>
      <c r="J40">
        <v>33</v>
      </c>
      <c r="K40" t="s">
        <v>124</v>
      </c>
      <c r="L40">
        <v>33</v>
      </c>
      <c r="M40" s="3" t="s">
        <v>112</v>
      </c>
      <c r="N40" t="s">
        <v>111</v>
      </c>
      <c r="O40" t="s">
        <v>114</v>
      </c>
      <c r="P40" t="s">
        <v>122</v>
      </c>
      <c r="Q40" t="s">
        <v>116</v>
      </c>
      <c r="R40" t="s">
        <v>106</v>
      </c>
      <c r="S40" s="43">
        <v>27</v>
      </c>
    </row>
    <row r="41" spans="2:19" ht="14.25" hidden="1">
      <c r="B41">
        <v>19</v>
      </c>
      <c r="F41" t="s">
        <v>104</v>
      </c>
      <c r="G41" s="8" t="s">
        <v>204</v>
      </c>
      <c r="J41">
        <v>197</v>
      </c>
      <c r="K41" t="s">
        <v>143</v>
      </c>
      <c r="L41">
        <v>197</v>
      </c>
      <c r="M41" t="s">
        <v>112</v>
      </c>
      <c r="N41" t="s">
        <v>111</v>
      </c>
      <c r="O41" t="s">
        <v>114</v>
      </c>
      <c r="P41" t="s">
        <v>122</v>
      </c>
      <c r="Q41" t="s">
        <v>116</v>
      </c>
      <c r="R41" t="s">
        <v>106</v>
      </c>
      <c r="S41" s="43">
        <v>28</v>
      </c>
    </row>
    <row r="42" spans="2:19" ht="15" hidden="1">
      <c r="F42" s="30"/>
      <c r="J42">
        <v>25</v>
      </c>
      <c r="K42" t="s">
        <v>167</v>
      </c>
      <c r="L42">
        <v>25</v>
      </c>
      <c r="M42" s="3" t="s">
        <v>112</v>
      </c>
      <c r="N42" t="s">
        <v>111</v>
      </c>
      <c r="O42" t="s">
        <v>114</v>
      </c>
      <c r="P42" t="s">
        <v>122</v>
      </c>
      <c r="Q42" t="s">
        <v>116</v>
      </c>
      <c r="R42" t="s">
        <v>106</v>
      </c>
      <c r="S42" s="43">
        <v>29</v>
      </c>
    </row>
    <row r="43" spans="2:19" ht="15" hidden="1">
      <c r="F43" s="30"/>
      <c r="J43">
        <v>34</v>
      </c>
      <c r="K43" t="s">
        <v>123</v>
      </c>
      <c r="L43">
        <v>34</v>
      </c>
      <c r="M43" s="3" t="s">
        <v>112</v>
      </c>
      <c r="N43" t="s">
        <v>111</v>
      </c>
      <c r="O43" t="s">
        <v>114</v>
      </c>
      <c r="P43" t="s">
        <v>122</v>
      </c>
      <c r="Q43" t="s">
        <v>116</v>
      </c>
      <c r="R43" t="s">
        <v>106</v>
      </c>
      <c r="S43" s="43">
        <v>30</v>
      </c>
    </row>
    <row r="44" spans="2:19" ht="15" hidden="1">
      <c r="F44" s="30"/>
      <c r="J44">
        <v>27</v>
      </c>
      <c r="K44" s="2" t="s">
        <v>662</v>
      </c>
      <c r="L44">
        <v>27</v>
      </c>
      <c r="M44" s="3" t="s">
        <v>112</v>
      </c>
      <c r="N44" t="s">
        <v>111</v>
      </c>
      <c r="O44" t="s">
        <v>114</v>
      </c>
      <c r="P44" t="s">
        <v>122</v>
      </c>
      <c r="Q44" t="s">
        <v>116</v>
      </c>
      <c r="R44" t="s">
        <v>106</v>
      </c>
      <c r="S44" s="43">
        <v>31</v>
      </c>
    </row>
    <row r="45" spans="2:19" ht="15" hidden="1">
      <c r="F45" s="30"/>
      <c r="J45">
        <v>35</v>
      </c>
      <c r="K45" t="s">
        <v>163</v>
      </c>
      <c r="L45">
        <v>35</v>
      </c>
      <c r="M45" s="3" t="s">
        <v>117</v>
      </c>
      <c r="N45" t="s">
        <v>115</v>
      </c>
      <c r="O45" t="s">
        <v>113</v>
      </c>
      <c r="P45" t="s">
        <v>115</v>
      </c>
      <c r="Q45" t="s">
        <v>116</v>
      </c>
      <c r="R45" t="s">
        <v>106</v>
      </c>
      <c r="S45" s="43">
        <v>32</v>
      </c>
    </row>
    <row r="46" spans="2:19" ht="15" hidden="1">
      <c r="F46" s="30"/>
      <c r="J46">
        <v>36</v>
      </c>
      <c r="K46" t="s">
        <v>162</v>
      </c>
      <c r="L46">
        <v>36</v>
      </c>
      <c r="M46" s="3" t="s">
        <v>117</v>
      </c>
      <c r="N46" t="s">
        <v>115</v>
      </c>
      <c r="O46" t="s">
        <v>113</v>
      </c>
      <c r="P46" t="s">
        <v>115</v>
      </c>
      <c r="Q46" t="s">
        <v>116</v>
      </c>
      <c r="R46" t="s">
        <v>106</v>
      </c>
      <c r="S46" s="43">
        <v>33</v>
      </c>
    </row>
    <row r="47" spans="2:19" ht="15" hidden="1">
      <c r="F47" s="30"/>
      <c r="J47">
        <v>178</v>
      </c>
      <c r="K47" t="s">
        <v>134</v>
      </c>
      <c r="L47">
        <v>178</v>
      </c>
      <c r="M47" s="3" t="s">
        <v>117</v>
      </c>
      <c r="N47" t="s">
        <v>115</v>
      </c>
      <c r="O47" t="s">
        <v>113</v>
      </c>
      <c r="P47" t="s">
        <v>115</v>
      </c>
      <c r="Q47" t="s">
        <v>116</v>
      </c>
      <c r="R47" t="s">
        <v>106</v>
      </c>
      <c r="S47" s="43">
        <v>34</v>
      </c>
    </row>
    <row r="48" spans="2:19" ht="15" hidden="1">
      <c r="F48" s="30"/>
      <c r="J48">
        <v>179</v>
      </c>
      <c r="K48" t="s">
        <v>129</v>
      </c>
      <c r="L48">
        <v>179</v>
      </c>
      <c r="M48" s="3" t="s">
        <v>117</v>
      </c>
      <c r="N48" t="s">
        <v>115</v>
      </c>
      <c r="O48" t="s">
        <v>113</v>
      </c>
      <c r="P48" t="s">
        <v>115</v>
      </c>
      <c r="Q48" t="s">
        <v>116</v>
      </c>
      <c r="R48" t="s">
        <v>106</v>
      </c>
      <c r="S48" s="43">
        <v>35</v>
      </c>
    </row>
    <row r="49" spans="6:19" ht="15" hidden="1">
      <c r="F49" s="30"/>
      <c r="J49">
        <v>39</v>
      </c>
      <c r="K49" t="s">
        <v>161</v>
      </c>
      <c r="L49">
        <v>39</v>
      </c>
      <c r="M49" s="3" t="s">
        <v>117</v>
      </c>
      <c r="N49" t="s">
        <v>115</v>
      </c>
      <c r="O49" t="s">
        <v>113</v>
      </c>
      <c r="P49" t="s">
        <v>115</v>
      </c>
      <c r="Q49" t="s">
        <v>116</v>
      </c>
      <c r="R49" t="s">
        <v>106</v>
      </c>
      <c r="S49" s="43">
        <v>36</v>
      </c>
    </row>
    <row r="50" spans="6:19" ht="15" hidden="1">
      <c r="F50" s="30"/>
      <c r="J50">
        <v>40</v>
      </c>
      <c r="K50" t="s">
        <v>160</v>
      </c>
      <c r="L50">
        <v>40</v>
      </c>
      <c r="M50" s="3" t="s">
        <v>117</v>
      </c>
      <c r="N50" t="s">
        <v>115</v>
      </c>
      <c r="O50" t="s">
        <v>113</v>
      </c>
      <c r="P50" t="s">
        <v>115</v>
      </c>
      <c r="Q50" t="s">
        <v>116</v>
      </c>
      <c r="R50" t="s">
        <v>106</v>
      </c>
      <c r="S50" s="43">
        <v>37</v>
      </c>
    </row>
    <row r="51" spans="6:19">
      <c r="J51">
        <v>41</v>
      </c>
      <c r="K51" t="s">
        <v>159</v>
      </c>
      <c r="L51">
        <v>41</v>
      </c>
      <c r="M51" s="3" t="s">
        <v>117</v>
      </c>
      <c r="N51" t="s">
        <v>115</v>
      </c>
      <c r="O51" t="s">
        <v>113</v>
      </c>
      <c r="P51" t="s">
        <v>115</v>
      </c>
      <c r="Q51" t="s">
        <v>116</v>
      </c>
      <c r="R51" t="s">
        <v>106</v>
      </c>
      <c r="S51" s="43">
        <v>38</v>
      </c>
    </row>
    <row r="52" spans="6:19">
      <c r="J52">
        <v>166</v>
      </c>
      <c r="K52" t="s">
        <v>133</v>
      </c>
      <c r="L52">
        <v>166</v>
      </c>
      <c r="M52" s="3" t="s">
        <v>117</v>
      </c>
      <c r="N52" t="s">
        <v>115</v>
      </c>
      <c r="O52" t="s">
        <v>113</v>
      </c>
      <c r="P52" t="s">
        <v>115</v>
      </c>
      <c r="Q52" t="s">
        <v>116</v>
      </c>
      <c r="R52" t="s">
        <v>106</v>
      </c>
      <c r="S52" s="43">
        <v>39</v>
      </c>
    </row>
    <row r="53" spans="6:19">
      <c r="J53">
        <v>46</v>
      </c>
      <c r="K53" t="s">
        <v>145</v>
      </c>
      <c r="L53">
        <v>46</v>
      </c>
      <c r="M53" s="3" t="s">
        <v>112</v>
      </c>
      <c r="N53" t="s">
        <v>115</v>
      </c>
      <c r="O53" t="s">
        <v>113</v>
      </c>
      <c r="P53" t="s">
        <v>115</v>
      </c>
      <c r="Q53" t="s">
        <v>116</v>
      </c>
      <c r="R53" t="s">
        <v>106</v>
      </c>
      <c r="S53" s="43">
        <v>40</v>
      </c>
    </row>
    <row r="54" spans="6:19">
      <c r="J54">
        <v>47</v>
      </c>
      <c r="K54" t="s">
        <v>120</v>
      </c>
      <c r="L54">
        <v>47</v>
      </c>
      <c r="M54" s="3" t="s">
        <v>117</v>
      </c>
      <c r="N54" t="s">
        <v>115</v>
      </c>
      <c r="O54" t="s">
        <v>113</v>
      </c>
      <c r="P54" t="s">
        <v>115</v>
      </c>
      <c r="Q54" t="s">
        <v>116</v>
      </c>
      <c r="R54" t="s">
        <v>106</v>
      </c>
      <c r="S54" s="43">
        <v>41</v>
      </c>
    </row>
    <row r="55" spans="6:19">
      <c r="J55">
        <v>48</v>
      </c>
      <c r="K55" t="s">
        <v>158</v>
      </c>
      <c r="L55">
        <v>48</v>
      </c>
      <c r="M55" s="3" t="s">
        <v>117</v>
      </c>
      <c r="N55" t="s">
        <v>115</v>
      </c>
      <c r="O55" t="s">
        <v>113</v>
      </c>
      <c r="P55" t="s">
        <v>115</v>
      </c>
      <c r="Q55" t="s">
        <v>116</v>
      </c>
      <c r="R55" t="s">
        <v>106</v>
      </c>
      <c r="S55" s="43">
        <v>42</v>
      </c>
    </row>
    <row r="56" spans="6:19">
      <c r="J56">
        <v>49</v>
      </c>
      <c r="K56" t="s">
        <v>157</v>
      </c>
      <c r="L56">
        <v>49</v>
      </c>
      <c r="M56" s="3" t="s">
        <v>117</v>
      </c>
      <c r="N56" t="s">
        <v>115</v>
      </c>
      <c r="O56" t="s">
        <v>113</v>
      </c>
      <c r="P56" t="s">
        <v>115</v>
      </c>
      <c r="Q56" t="s">
        <v>116</v>
      </c>
      <c r="R56" t="s">
        <v>106</v>
      </c>
      <c r="S56" s="43">
        <v>43</v>
      </c>
    </row>
    <row r="57" spans="6:19">
      <c r="J57">
        <v>50</v>
      </c>
      <c r="K57" t="s">
        <v>156</v>
      </c>
      <c r="L57">
        <v>50</v>
      </c>
      <c r="M57" s="3" t="s">
        <v>117</v>
      </c>
      <c r="N57" t="s">
        <v>115</v>
      </c>
      <c r="O57" t="s">
        <v>113</v>
      </c>
      <c r="P57" t="s">
        <v>115</v>
      </c>
      <c r="Q57" t="s">
        <v>116</v>
      </c>
      <c r="R57" t="s">
        <v>106</v>
      </c>
      <c r="S57" s="43">
        <v>44</v>
      </c>
    </row>
    <row r="58" spans="6:19">
      <c r="J58">
        <v>51</v>
      </c>
      <c r="K58" t="s">
        <v>155</v>
      </c>
      <c r="L58">
        <v>51</v>
      </c>
      <c r="M58" s="3" t="s">
        <v>117</v>
      </c>
      <c r="N58" t="s">
        <v>115</v>
      </c>
      <c r="O58" t="s">
        <v>113</v>
      </c>
      <c r="P58" t="s">
        <v>115</v>
      </c>
      <c r="Q58" t="s">
        <v>116</v>
      </c>
      <c r="R58" t="s">
        <v>106</v>
      </c>
      <c r="S58" s="43">
        <v>45</v>
      </c>
    </row>
    <row r="59" spans="6:19">
      <c r="J59">
        <v>54</v>
      </c>
      <c r="K59" t="s">
        <v>154</v>
      </c>
      <c r="L59">
        <v>54</v>
      </c>
      <c r="M59" s="3" t="s">
        <v>117</v>
      </c>
      <c r="N59" t="s">
        <v>115</v>
      </c>
      <c r="O59" t="s">
        <v>113</v>
      </c>
      <c r="P59" t="s">
        <v>115</v>
      </c>
      <c r="Q59" t="s">
        <v>116</v>
      </c>
      <c r="R59" t="s">
        <v>106</v>
      </c>
      <c r="S59" s="43">
        <v>46</v>
      </c>
    </row>
    <row r="60" spans="6:19">
      <c r="J60">
        <v>55</v>
      </c>
      <c r="K60" t="s">
        <v>135</v>
      </c>
      <c r="L60">
        <v>55</v>
      </c>
      <c r="M60" s="3" t="s">
        <v>117</v>
      </c>
      <c r="N60" t="s">
        <v>115</v>
      </c>
      <c r="O60" t="s">
        <v>113</v>
      </c>
      <c r="P60" t="s">
        <v>115</v>
      </c>
      <c r="Q60" t="s">
        <v>116</v>
      </c>
      <c r="R60" t="s">
        <v>106</v>
      </c>
      <c r="S60" s="43">
        <v>47</v>
      </c>
    </row>
    <row r="61" spans="6:19">
      <c r="J61">
        <v>56</v>
      </c>
      <c r="K61" t="s">
        <v>121</v>
      </c>
      <c r="L61">
        <v>56</v>
      </c>
      <c r="M61" s="3" t="s">
        <v>117</v>
      </c>
      <c r="N61" t="s">
        <v>115</v>
      </c>
      <c r="O61" t="s">
        <v>113</v>
      </c>
      <c r="P61" t="s">
        <v>115</v>
      </c>
      <c r="Q61" t="s">
        <v>116</v>
      </c>
      <c r="R61" t="s">
        <v>106</v>
      </c>
      <c r="S61" s="43">
        <v>48</v>
      </c>
    </row>
    <row r="62" spans="6:19">
      <c r="J62">
        <v>57</v>
      </c>
      <c r="K62" t="s">
        <v>119</v>
      </c>
      <c r="L62">
        <v>57</v>
      </c>
      <c r="M62" s="3" t="s">
        <v>117</v>
      </c>
      <c r="N62" t="s">
        <v>115</v>
      </c>
      <c r="O62" t="s">
        <v>113</v>
      </c>
      <c r="P62" t="s">
        <v>115</v>
      </c>
      <c r="Q62" t="s">
        <v>116</v>
      </c>
      <c r="R62" t="s">
        <v>106</v>
      </c>
      <c r="S62" s="43">
        <v>49</v>
      </c>
    </row>
    <row r="63" spans="6:19">
      <c r="J63">
        <v>58</v>
      </c>
      <c r="K63" t="s">
        <v>142</v>
      </c>
      <c r="L63">
        <v>58</v>
      </c>
      <c r="M63" s="3" t="s">
        <v>117</v>
      </c>
      <c r="N63" t="s">
        <v>115</v>
      </c>
      <c r="O63" t="s">
        <v>113</v>
      </c>
      <c r="P63" t="s">
        <v>115</v>
      </c>
      <c r="Q63" t="s">
        <v>116</v>
      </c>
      <c r="R63" t="s">
        <v>106</v>
      </c>
      <c r="S63" s="43">
        <v>50</v>
      </c>
    </row>
    <row r="64" spans="6:19">
      <c r="J64">
        <v>59</v>
      </c>
      <c r="K64" t="s">
        <v>153</v>
      </c>
      <c r="L64">
        <v>59</v>
      </c>
      <c r="M64" s="3" t="s">
        <v>117</v>
      </c>
      <c r="N64" t="s">
        <v>115</v>
      </c>
      <c r="O64" t="s">
        <v>113</v>
      </c>
      <c r="P64" t="s">
        <v>115</v>
      </c>
      <c r="Q64" t="s">
        <v>116</v>
      </c>
      <c r="R64" t="s">
        <v>106</v>
      </c>
      <c r="S64" s="43">
        <v>51</v>
      </c>
    </row>
    <row r="65" spans="10:19">
      <c r="J65">
        <v>215</v>
      </c>
      <c r="K65" t="s">
        <v>126</v>
      </c>
      <c r="L65">
        <v>215</v>
      </c>
      <c r="M65" t="s">
        <v>117</v>
      </c>
      <c r="N65" t="s">
        <v>115</v>
      </c>
      <c r="O65" t="s">
        <v>113</v>
      </c>
      <c r="P65" t="s">
        <v>115</v>
      </c>
      <c r="Q65" t="s">
        <v>116</v>
      </c>
      <c r="R65" t="s">
        <v>106</v>
      </c>
      <c r="S65" s="43">
        <v>52</v>
      </c>
    </row>
    <row r="66" spans="10:19">
      <c r="J66">
        <v>61</v>
      </c>
      <c r="K66" t="s">
        <v>131</v>
      </c>
      <c r="L66">
        <v>61</v>
      </c>
      <c r="M66" s="3" t="s">
        <v>117</v>
      </c>
      <c r="N66" t="s">
        <v>115</v>
      </c>
      <c r="O66" t="s">
        <v>113</v>
      </c>
      <c r="P66" t="s">
        <v>115</v>
      </c>
      <c r="Q66" t="s">
        <v>116</v>
      </c>
      <c r="R66" t="s">
        <v>106</v>
      </c>
      <c r="S66" s="43">
        <v>53</v>
      </c>
    </row>
    <row r="67" spans="10:19">
      <c r="J67">
        <v>62</v>
      </c>
      <c r="K67" t="s">
        <v>118</v>
      </c>
      <c r="L67">
        <v>62</v>
      </c>
      <c r="M67" s="3" t="s">
        <v>117</v>
      </c>
      <c r="N67" t="s">
        <v>115</v>
      </c>
      <c r="O67" t="s">
        <v>113</v>
      </c>
      <c r="P67" t="s">
        <v>115</v>
      </c>
      <c r="Q67" t="s">
        <v>116</v>
      </c>
      <c r="R67" t="s">
        <v>106</v>
      </c>
      <c r="S67" s="43">
        <v>54</v>
      </c>
    </row>
    <row r="68" spans="10:19">
      <c r="J68">
        <v>63</v>
      </c>
      <c r="K68" t="s">
        <v>152</v>
      </c>
      <c r="L68">
        <v>63</v>
      </c>
      <c r="M68" s="3" t="s">
        <v>117</v>
      </c>
      <c r="N68" t="s">
        <v>115</v>
      </c>
      <c r="O68" t="s">
        <v>113</v>
      </c>
      <c r="P68" t="s">
        <v>115</v>
      </c>
      <c r="Q68" t="s">
        <v>116</v>
      </c>
      <c r="R68" t="s">
        <v>106</v>
      </c>
      <c r="S68" s="43">
        <v>55</v>
      </c>
    </row>
    <row r="69" spans="10:19">
      <c r="J69">
        <v>64</v>
      </c>
      <c r="K69" t="s">
        <v>151</v>
      </c>
      <c r="L69">
        <v>64</v>
      </c>
      <c r="M69" s="3" t="s">
        <v>117</v>
      </c>
      <c r="N69" t="s">
        <v>115</v>
      </c>
      <c r="O69" t="s">
        <v>113</v>
      </c>
      <c r="P69" t="s">
        <v>115</v>
      </c>
      <c r="Q69" t="s">
        <v>116</v>
      </c>
      <c r="R69" t="s">
        <v>106</v>
      </c>
      <c r="S69" s="43">
        <v>56</v>
      </c>
    </row>
    <row r="70" spans="10:19">
      <c r="J70">
        <v>167</v>
      </c>
      <c r="K70" t="s">
        <v>146</v>
      </c>
      <c r="L70">
        <v>167</v>
      </c>
      <c r="M70" s="3" t="s">
        <v>117</v>
      </c>
      <c r="N70" t="s">
        <v>115</v>
      </c>
      <c r="O70" t="s">
        <v>113</v>
      </c>
      <c r="P70" t="s">
        <v>115</v>
      </c>
      <c r="Q70" t="s">
        <v>116</v>
      </c>
      <c r="R70" t="s">
        <v>106</v>
      </c>
      <c r="S70" s="43">
        <v>57</v>
      </c>
    </row>
    <row r="71" spans="10:19">
      <c r="J71">
        <v>66</v>
      </c>
      <c r="K71" t="s">
        <v>150</v>
      </c>
      <c r="L71">
        <v>66</v>
      </c>
      <c r="M71" s="3" t="s">
        <v>117</v>
      </c>
      <c r="N71" t="s">
        <v>115</v>
      </c>
      <c r="O71" t="s">
        <v>113</v>
      </c>
      <c r="P71" t="s">
        <v>115</v>
      </c>
      <c r="Q71" t="s">
        <v>116</v>
      </c>
      <c r="R71" t="s">
        <v>106</v>
      </c>
      <c r="S71" s="43">
        <v>58</v>
      </c>
    </row>
    <row r="72" spans="10:19">
      <c r="J72">
        <v>67</v>
      </c>
      <c r="K72" t="s">
        <v>149</v>
      </c>
      <c r="L72">
        <v>67</v>
      </c>
      <c r="M72" s="3" t="s">
        <v>117</v>
      </c>
      <c r="N72" t="s">
        <v>115</v>
      </c>
      <c r="O72" t="s">
        <v>113</v>
      </c>
      <c r="P72" t="s">
        <v>115</v>
      </c>
      <c r="Q72" t="s">
        <v>116</v>
      </c>
      <c r="R72" t="s">
        <v>106</v>
      </c>
      <c r="S72" s="43">
        <v>59</v>
      </c>
    </row>
    <row r="73" spans="10:19">
      <c r="J73">
        <v>68</v>
      </c>
      <c r="K73" t="s">
        <v>148</v>
      </c>
      <c r="L73">
        <v>68</v>
      </c>
      <c r="M73" t="s">
        <v>117</v>
      </c>
      <c r="N73" t="s">
        <v>115</v>
      </c>
      <c r="O73" t="s">
        <v>113</v>
      </c>
      <c r="P73" t="s">
        <v>115</v>
      </c>
      <c r="Q73" t="s">
        <v>116</v>
      </c>
      <c r="R73" t="s">
        <v>106</v>
      </c>
      <c r="S73" s="43">
        <v>60</v>
      </c>
    </row>
    <row r="74" spans="10:19">
      <c r="J74">
        <v>69</v>
      </c>
      <c r="K74" t="s">
        <v>139</v>
      </c>
      <c r="L74">
        <v>69</v>
      </c>
      <c r="M74" s="3" t="s">
        <v>117</v>
      </c>
      <c r="N74" t="s">
        <v>115</v>
      </c>
      <c r="O74" t="s">
        <v>113</v>
      </c>
      <c r="P74" t="s">
        <v>115</v>
      </c>
      <c r="Q74" t="s">
        <v>116</v>
      </c>
      <c r="R74" t="s">
        <v>106</v>
      </c>
      <c r="S74" s="43">
        <v>61</v>
      </c>
    </row>
    <row r="75" spans="10:19">
      <c r="J75" s="598">
        <v>86</v>
      </c>
      <c r="K75" s="598" t="s">
        <v>626</v>
      </c>
      <c r="L75" s="598">
        <v>86</v>
      </c>
      <c r="M75" s="599" t="s">
        <v>112</v>
      </c>
      <c r="N75" s="598" t="s">
        <v>111</v>
      </c>
      <c r="O75" s="598" t="s">
        <v>110</v>
      </c>
      <c r="P75" s="598" t="s">
        <v>109</v>
      </c>
      <c r="Q75" s="598" t="s">
        <v>116</v>
      </c>
      <c r="R75" s="598" t="s">
        <v>106</v>
      </c>
      <c r="S75" s="600">
        <f>+J75</f>
        <v>86</v>
      </c>
    </row>
    <row r="76" spans="10:19">
      <c r="J76" s="601">
        <v>89</v>
      </c>
      <c r="K76" s="601" t="s">
        <v>627</v>
      </c>
      <c r="L76" s="601">
        <v>89</v>
      </c>
      <c r="M76" s="602" t="s">
        <v>112</v>
      </c>
      <c r="N76" s="601" t="s">
        <v>111</v>
      </c>
      <c r="O76" s="601" t="s">
        <v>108</v>
      </c>
      <c r="P76" s="601" t="s">
        <v>127</v>
      </c>
      <c r="Q76" s="601" t="s">
        <v>116</v>
      </c>
      <c r="R76" s="601" t="s">
        <v>106</v>
      </c>
      <c r="S76" s="600">
        <f t="shared" ref="S76:S81" si="1">+J76</f>
        <v>89</v>
      </c>
    </row>
    <row r="77" spans="10:19">
      <c r="J77" s="601">
        <v>90</v>
      </c>
      <c r="K77" s="601" t="s">
        <v>628</v>
      </c>
      <c r="L77" s="601">
        <v>90</v>
      </c>
      <c r="M77" s="602" t="s">
        <v>112</v>
      </c>
      <c r="N77" s="601" t="s">
        <v>111</v>
      </c>
      <c r="O77" s="601" t="s">
        <v>114</v>
      </c>
      <c r="P77" s="601" t="s">
        <v>122</v>
      </c>
      <c r="Q77" s="601" t="s">
        <v>116</v>
      </c>
      <c r="R77" s="601" t="s">
        <v>106</v>
      </c>
      <c r="S77" s="600">
        <f t="shared" si="1"/>
        <v>90</v>
      </c>
    </row>
    <row r="78" spans="10:19">
      <c r="J78" s="601">
        <v>95</v>
      </c>
      <c r="K78" s="601" t="s">
        <v>629</v>
      </c>
      <c r="L78" s="601">
        <v>95</v>
      </c>
      <c r="M78" s="602" t="s">
        <v>117</v>
      </c>
      <c r="N78" s="601" t="s">
        <v>115</v>
      </c>
      <c r="O78" s="601" t="s">
        <v>113</v>
      </c>
      <c r="P78" s="601" t="s">
        <v>115</v>
      </c>
      <c r="Q78" s="601" t="s">
        <v>116</v>
      </c>
      <c r="R78" s="601" t="s">
        <v>106</v>
      </c>
      <c r="S78" s="600">
        <f t="shared" si="1"/>
        <v>95</v>
      </c>
    </row>
    <row r="79" spans="10:19">
      <c r="J79" s="601">
        <v>96</v>
      </c>
      <c r="K79" s="601" t="s">
        <v>630</v>
      </c>
      <c r="L79" s="601">
        <v>96</v>
      </c>
      <c r="M79" s="602" t="s">
        <v>106</v>
      </c>
      <c r="N79" s="601" t="s">
        <v>111</v>
      </c>
      <c r="O79" s="601">
        <v>0</v>
      </c>
      <c r="P79" s="601" t="s">
        <v>106</v>
      </c>
      <c r="Q79" s="601" t="s">
        <v>116</v>
      </c>
      <c r="R79" s="601" t="s">
        <v>106</v>
      </c>
      <c r="S79" s="600">
        <f t="shared" si="1"/>
        <v>96</v>
      </c>
    </row>
    <row r="80" spans="10:19">
      <c r="J80" s="601">
        <v>97</v>
      </c>
      <c r="K80" s="601" t="s">
        <v>631</v>
      </c>
      <c r="L80" s="601">
        <v>97</v>
      </c>
      <c r="M80" s="602" t="s">
        <v>106</v>
      </c>
      <c r="N80" s="601" t="s">
        <v>115</v>
      </c>
      <c r="O80" s="601">
        <v>0</v>
      </c>
      <c r="P80" s="601" t="s">
        <v>106</v>
      </c>
      <c r="Q80" s="601" t="s">
        <v>116</v>
      </c>
      <c r="R80" s="601" t="s">
        <v>106</v>
      </c>
      <c r="S80" s="600">
        <f t="shared" si="1"/>
        <v>97</v>
      </c>
    </row>
    <row r="81" spans="10:19">
      <c r="J81" s="601">
        <v>94</v>
      </c>
      <c r="K81" s="601" t="s">
        <v>632</v>
      </c>
      <c r="L81" s="601">
        <v>94</v>
      </c>
      <c r="M81" s="602" t="s">
        <v>106</v>
      </c>
      <c r="N81" s="601" t="s">
        <v>106</v>
      </c>
      <c r="O81" s="601">
        <v>0</v>
      </c>
      <c r="P81" s="601" t="s">
        <v>106</v>
      </c>
      <c r="Q81" s="601">
        <v>0</v>
      </c>
      <c r="R81" s="601" t="s">
        <v>106</v>
      </c>
      <c r="S81" s="600">
        <f t="shared" si="1"/>
        <v>94</v>
      </c>
    </row>
  </sheetData>
  <sortState ref="J14:S74">
    <sortCondition ref="O14:O74"/>
    <sortCondition ref="Q14:Q74"/>
    <sortCondition ref="K14:K74"/>
  </sortState>
  <dataValidations count="1">
    <dataValidation type="list" allowBlank="1" showInputMessage="1" showErrorMessage="1" sqref="G3">
      <formula1>$K$14:$K$81</formula1>
    </dataValidation>
  </dataValidations>
  <printOptions horizontalCentered="1"/>
  <pageMargins left="0.25" right="0.25" top="0.4" bottom="0" header="0" footer="0"/>
  <pageSetup scale="90" fitToHeight="0" orientation="portrait" horizontalDpi="1200" verticalDpi="1200" r:id="rId1"/>
  <headerFooter alignWithMargins="0">
    <oddFooter>&amp;L&amp;"+,Regular"State University of New York
System Administration&amp;R&amp;"-,Regular"Attachment C: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V54"/>
  <sheetViews>
    <sheetView showGridLines="0" topLeftCell="D4" zoomScaleNormal="100" workbookViewId="0">
      <selection activeCell="S41" sqref="S41"/>
    </sheetView>
  </sheetViews>
  <sheetFormatPr defaultColWidth="9.140625" defaultRowHeight="15" customHeight="1"/>
  <cols>
    <col min="1" max="1" width="9.140625" style="32" hidden="1" customWidth="1"/>
    <col min="2" max="2" width="8" style="44" hidden="1" customWidth="1"/>
    <col min="3" max="3" width="12.7109375" style="32" hidden="1" customWidth="1"/>
    <col min="4" max="4" width="10" style="50" customWidth="1"/>
    <col min="5" max="5" width="32.85546875" style="1" customWidth="1"/>
    <col min="6" max="15" width="10" style="1" customWidth="1"/>
    <col min="16" max="16384" width="9.140625" style="1"/>
  </cols>
  <sheetData>
    <row r="1" spans="1:22" s="32" customFormat="1" ht="15" hidden="1" customHeight="1">
      <c r="A1" s="32" t="s">
        <v>254</v>
      </c>
      <c r="B1" s="44">
        <v>8</v>
      </c>
      <c r="F1" s="44">
        <v>20</v>
      </c>
      <c r="G1" s="44">
        <f>F1+1</f>
        <v>21</v>
      </c>
      <c r="H1" s="44">
        <f>G1+1</f>
        <v>22</v>
      </c>
      <c r="I1" s="44">
        <f>H1+1</f>
        <v>23</v>
      </c>
      <c r="J1" s="44">
        <f>I1+1</f>
        <v>24</v>
      </c>
      <c r="K1" s="44">
        <f>+J1+1</f>
        <v>25</v>
      </c>
      <c r="L1" s="45"/>
      <c r="M1" s="32">
        <v>27</v>
      </c>
      <c r="N1" s="32">
        <f>M1+1</f>
        <v>28</v>
      </c>
    </row>
    <row r="2" spans="1:22" s="32" customFormat="1" ht="15" hidden="1" customHeight="1">
      <c r="B2" s="44"/>
      <c r="F2" s="32">
        <v>18</v>
      </c>
      <c r="G2" s="32">
        <f t="shared" ref="G2:J3" si="0">+F2+1</f>
        <v>19</v>
      </c>
      <c r="H2" s="32">
        <f t="shared" si="0"/>
        <v>20</v>
      </c>
      <c r="I2" s="32">
        <f t="shared" si="0"/>
        <v>21</v>
      </c>
      <c r="J2" s="32">
        <f t="shared" si="0"/>
        <v>22</v>
      </c>
      <c r="K2" s="32">
        <f>+J2+1</f>
        <v>23</v>
      </c>
      <c r="M2" s="32">
        <v>25</v>
      </c>
      <c r="N2" s="32">
        <f>+M2+1</f>
        <v>26</v>
      </c>
    </row>
    <row r="3" spans="1:22" s="32" customFormat="1" ht="15" hidden="1" customHeight="1">
      <c r="B3" s="44"/>
      <c r="E3" s="67" t="s">
        <v>274</v>
      </c>
      <c r="F3" s="32">
        <v>15</v>
      </c>
      <c r="G3" s="32">
        <f t="shared" si="0"/>
        <v>16</v>
      </c>
      <c r="H3" s="32">
        <f t="shared" si="0"/>
        <v>17</v>
      </c>
      <c r="I3" s="32">
        <f t="shared" si="0"/>
        <v>18</v>
      </c>
      <c r="J3" s="32">
        <f t="shared" si="0"/>
        <v>19</v>
      </c>
      <c r="K3" s="32">
        <f>+J3+1</f>
        <v>20</v>
      </c>
    </row>
    <row r="5" spans="1:22" ht="15" customHeight="1">
      <c r="E5" s="815" t="str">
        <f>"Attachment 2: Data Summary and Detail Tables - "&amp;'Campus Selector'!$G$3</f>
        <v>Attachment 2: Data Summary and Detail Tables - Canton</v>
      </c>
      <c r="F5" s="815"/>
      <c r="G5" s="815"/>
      <c r="H5" s="815"/>
      <c r="I5" s="815"/>
      <c r="J5" s="815"/>
      <c r="K5" s="815"/>
      <c r="L5" s="815"/>
      <c r="M5" s="815"/>
      <c r="N5" s="815"/>
      <c r="R5" s="813"/>
      <c r="S5" s="813"/>
      <c r="T5" s="813"/>
      <c r="U5" s="813"/>
      <c r="V5" s="813"/>
    </row>
    <row r="6" spans="1:22" ht="15" customHeight="1">
      <c r="E6" s="816" t="s">
        <v>393</v>
      </c>
      <c r="F6" s="816"/>
      <c r="G6" s="816"/>
      <c r="H6" s="816"/>
      <c r="I6" s="816"/>
      <c r="J6" s="816"/>
      <c r="K6" s="816"/>
      <c r="L6" s="816"/>
      <c r="M6" s="816"/>
      <c r="N6" s="816"/>
    </row>
    <row r="7" spans="1:22">
      <c r="A7" s="159"/>
      <c r="B7" s="160"/>
      <c r="C7" s="159"/>
      <c r="D7" s="526"/>
      <c r="E7" s="68"/>
      <c r="F7" s="68"/>
      <c r="G7" s="68"/>
      <c r="H7" s="68"/>
      <c r="I7" s="68"/>
      <c r="J7" s="68"/>
      <c r="K7" s="68"/>
      <c r="L7" s="68"/>
    </row>
    <row r="8" spans="1:22" ht="42.75" customHeight="1">
      <c r="B8" s="47" t="s">
        <v>253</v>
      </c>
      <c r="C8" s="48"/>
      <c r="D8" s="526"/>
      <c r="E8" s="715" t="s">
        <v>462</v>
      </c>
      <c r="F8" s="98" t="s">
        <v>49</v>
      </c>
      <c r="G8" s="98" t="s">
        <v>50</v>
      </c>
      <c r="H8" s="98" t="s">
        <v>51</v>
      </c>
      <c r="I8" s="98" t="s">
        <v>52</v>
      </c>
      <c r="J8" s="98" t="s">
        <v>53</v>
      </c>
      <c r="K8" s="98" t="s">
        <v>261</v>
      </c>
      <c r="L8" s="98" t="s">
        <v>39</v>
      </c>
      <c r="M8" s="98" t="s">
        <v>231</v>
      </c>
      <c r="N8" s="98" t="s">
        <v>54</v>
      </c>
      <c r="O8" s="118"/>
      <c r="P8" s="118"/>
    </row>
    <row r="9" spans="1:22" ht="15" customHeight="1">
      <c r="B9" s="47"/>
      <c r="C9" s="48"/>
      <c r="D9" s="526"/>
      <c r="E9" s="828" t="s">
        <v>390</v>
      </c>
      <c r="F9" s="829"/>
      <c r="G9" s="829"/>
      <c r="H9" s="829"/>
      <c r="I9" s="829"/>
      <c r="J9" s="829"/>
      <c r="K9" s="829"/>
      <c r="L9" s="829"/>
      <c r="M9" s="829"/>
      <c r="N9" s="830"/>
      <c r="O9" s="118"/>
      <c r="P9" s="118"/>
    </row>
    <row r="10" spans="1:22" ht="15" customHeight="1">
      <c r="B10" s="47"/>
      <c r="C10" s="48"/>
      <c r="D10" s="526"/>
      <c r="E10" s="109" t="s">
        <v>0</v>
      </c>
      <c r="F10" s="183">
        <f>+'Enrollment 5YR'!F9</f>
        <v>3320</v>
      </c>
      <c r="G10" s="183">
        <f>+'Enrollment 5YR'!G9</f>
        <v>3655</v>
      </c>
      <c r="H10" s="183">
        <f>+'Enrollment 5YR'!H9</f>
        <v>3825</v>
      </c>
      <c r="I10" s="183">
        <f>+'Enrollment 5YR'!I9</f>
        <v>3780</v>
      </c>
      <c r="J10" s="183">
        <f>+'Enrollment 5YR'!J9</f>
        <v>3512</v>
      </c>
      <c r="K10" s="183">
        <f>+'Enrollment 5YR'!K9</f>
        <v>3282</v>
      </c>
      <c r="L10" s="285">
        <f>(+K10-F10)/F10</f>
        <v>-1.144578313253012E-2</v>
      </c>
      <c r="M10" s="837" t="s">
        <v>714</v>
      </c>
      <c r="N10" s="838"/>
      <c r="O10" s="118"/>
      <c r="P10" s="118"/>
    </row>
    <row r="11" spans="1:22" ht="15" customHeight="1">
      <c r="B11" s="47">
        <v>124</v>
      </c>
      <c r="C11" s="48" t="str">
        <f>TEXT($B$1,"00")&amp;"."&amp;TEXT($B11,"000")&amp;"."&amp;TEXT('Campus Selector'!$G$6,"00")</f>
        <v>08.124.25</v>
      </c>
      <c r="D11" s="526"/>
      <c r="E11" s="92" t="s">
        <v>11</v>
      </c>
      <c r="F11" s="150">
        <v>2437</v>
      </c>
      <c r="G11" s="150">
        <v>2524</v>
      </c>
      <c r="H11" s="150">
        <v>2489</v>
      </c>
      <c r="I11" s="150">
        <v>2511</v>
      </c>
      <c r="J11" s="150">
        <v>2422</v>
      </c>
      <c r="K11" s="150">
        <v>2250</v>
      </c>
      <c r="L11" s="77">
        <f t="shared" ref="L11:L16" si="1">(+K11-F11)/F11</f>
        <v>-7.6733688961838326E-2</v>
      </c>
      <c r="M11" s="839"/>
      <c r="N11" s="840"/>
      <c r="O11" s="118"/>
      <c r="P11" s="118"/>
    </row>
    <row r="12" spans="1:22" ht="15" customHeight="1">
      <c r="C12" s="48"/>
      <c r="D12" s="526"/>
      <c r="E12" s="153" t="s">
        <v>12</v>
      </c>
      <c r="F12" s="151">
        <f t="shared" ref="F12:J12" si="2">SUM(F13,F14,F15,F16,F17)</f>
        <v>566</v>
      </c>
      <c r="G12" s="151">
        <f t="shared" si="2"/>
        <v>608</v>
      </c>
      <c r="H12" s="151">
        <f t="shared" si="2"/>
        <v>801</v>
      </c>
      <c r="I12" s="151">
        <f t="shared" si="2"/>
        <v>843</v>
      </c>
      <c r="J12" s="151">
        <f t="shared" si="2"/>
        <v>852</v>
      </c>
      <c r="K12" s="151">
        <f>SUM(K13,K14,K15,K16,K17)</f>
        <v>869</v>
      </c>
      <c r="L12" s="152">
        <f t="shared" si="1"/>
        <v>0.53533568904593642</v>
      </c>
      <c r="M12" s="839"/>
      <c r="N12" s="840"/>
      <c r="O12" s="118"/>
      <c r="P12" s="118"/>
    </row>
    <row r="13" spans="1:22" ht="15" customHeight="1">
      <c r="B13" s="44">
        <v>125</v>
      </c>
      <c r="C13" s="48" t="str">
        <f>TEXT($B$1,"00")&amp;"."&amp;TEXT($B13,"000")&amp;"."&amp;TEXT('Campus Selector'!$G$6,"00")</f>
        <v>08.125.25</v>
      </c>
      <c r="D13" s="526"/>
      <c r="E13" s="138" t="s">
        <v>56</v>
      </c>
      <c r="F13" s="150">
        <v>317</v>
      </c>
      <c r="G13" s="150">
        <v>335</v>
      </c>
      <c r="H13" s="150">
        <v>434</v>
      </c>
      <c r="I13" s="150">
        <v>446</v>
      </c>
      <c r="J13" s="150">
        <v>466</v>
      </c>
      <c r="K13" s="150">
        <v>442</v>
      </c>
      <c r="L13" s="77">
        <f t="shared" si="1"/>
        <v>0.39432176656151419</v>
      </c>
      <c r="M13" s="839"/>
      <c r="N13" s="840"/>
      <c r="O13" s="118"/>
      <c r="P13" s="118"/>
    </row>
    <row r="14" spans="1:22" ht="15" customHeight="1">
      <c r="B14" s="47">
        <v>126</v>
      </c>
      <c r="C14" s="48" t="str">
        <f>TEXT($B$1,"00")&amp;"."&amp;TEXT($B14,"000")&amp;"."&amp;TEXT('Campus Selector'!$G$6,"00")</f>
        <v>08.126.25</v>
      </c>
      <c r="D14" s="526"/>
      <c r="E14" s="138" t="s">
        <v>57</v>
      </c>
      <c r="F14" s="108">
        <v>142</v>
      </c>
      <c r="G14" s="108">
        <v>177</v>
      </c>
      <c r="H14" s="108">
        <v>248</v>
      </c>
      <c r="I14" s="108">
        <v>249</v>
      </c>
      <c r="J14" s="108">
        <v>254</v>
      </c>
      <c r="K14" s="108">
        <v>286</v>
      </c>
      <c r="L14" s="72">
        <f t="shared" si="1"/>
        <v>1.0140845070422535</v>
      </c>
      <c r="M14" s="839"/>
      <c r="N14" s="840"/>
      <c r="O14" s="118"/>
      <c r="P14" s="118"/>
    </row>
    <row r="15" spans="1:22" ht="15" customHeight="1">
      <c r="B15" s="44">
        <v>127</v>
      </c>
      <c r="C15" s="48" t="str">
        <f>TEXT($B$1,"00")&amp;"."&amp;TEXT($B15,"000")&amp;"."&amp;TEXT('Campus Selector'!$G$6,"00")</f>
        <v>08.127.25</v>
      </c>
      <c r="D15" s="526"/>
      <c r="E15" s="138" t="s">
        <v>58</v>
      </c>
      <c r="F15" s="150">
        <v>31</v>
      </c>
      <c r="G15" s="150">
        <v>26</v>
      </c>
      <c r="H15" s="150">
        <v>35</v>
      </c>
      <c r="I15" s="150">
        <v>39</v>
      </c>
      <c r="J15" s="150">
        <v>33</v>
      </c>
      <c r="K15" s="150">
        <v>37</v>
      </c>
      <c r="L15" s="77">
        <f t="shared" si="1"/>
        <v>0.19354838709677419</v>
      </c>
      <c r="M15" s="839"/>
      <c r="N15" s="840"/>
      <c r="O15" s="118"/>
      <c r="P15" s="118"/>
    </row>
    <row r="16" spans="1:22" ht="15" customHeight="1">
      <c r="B16" s="44">
        <v>128</v>
      </c>
      <c r="C16" s="48" t="str">
        <f>TEXT($B$1,"00")&amp;"."&amp;TEXT($B16,"000")&amp;"."&amp;TEXT('Campus Selector'!$G$6,"00")</f>
        <v>08.128.25</v>
      </c>
      <c r="D16" s="526"/>
      <c r="E16" s="138" t="s">
        <v>59</v>
      </c>
      <c r="F16" s="150">
        <v>76</v>
      </c>
      <c r="G16" s="150">
        <v>43</v>
      </c>
      <c r="H16" s="150">
        <v>48</v>
      </c>
      <c r="I16" s="150">
        <v>67</v>
      </c>
      <c r="J16" s="150">
        <v>49</v>
      </c>
      <c r="K16" s="150">
        <v>49</v>
      </c>
      <c r="L16" s="77">
        <f t="shared" si="1"/>
        <v>-0.35526315789473684</v>
      </c>
      <c r="M16" s="839"/>
      <c r="N16" s="840"/>
      <c r="O16" s="118"/>
      <c r="P16" s="118"/>
    </row>
    <row r="17" spans="1:16" ht="15" customHeight="1">
      <c r="B17" s="44">
        <v>129</v>
      </c>
      <c r="C17" s="48" t="str">
        <f>TEXT($B$1,"00")&amp;"."&amp;TEXT($B17,"000")&amp;"."&amp;TEXT('Campus Selector'!$G$6,"00")</f>
        <v>08.129.25</v>
      </c>
      <c r="D17" s="526"/>
      <c r="E17" s="138" t="s">
        <v>60</v>
      </c>
      <c r="F17" s="150">
        <v>0</v>
      </c>
      <c r="G17" s="150">
        <v>27</v>
      </c>
      <c r="H17" s="150">
        <v>36</v>
      </c>
      <c r="I17" s="150">
        <v>42</v>
      </c>
      <c r="J17" s="150">
        <v>50</v>
      </c>
      <c r="K17" s="150">
        <v>55</v>
      </c>
      <c r="L17" s="77" t="str">
        <f>IF(ISERROR((+K17-F17)/F17),"-",(+K17-F17)/F17)</f>
        <v>-</v>
      </c>
      <c r="M17" s="839"/>
      <c r="N17" s="840"/>
      <c r="O17" s="118"/>
      <c r="P17" s="118"/>
    </row>
    <row r="18" spans="1:16" ht="15" customHeight="1">
      <c r="C18" s="48"/>
      <c r="D18" s="526"/>
      <c r="E18" s="648" t="s">
        <v>667</v>
      </c>
      <c r="F18" s="649">
        <f>SUM(F13,F14,F16,F17)</f>
        <v>535</v>
      </c>
      <c r="G18" s="649">
        <f t="shared" ref="G18:J18" si="3">SUM(G13,G14,G16,G17)</f>
        <v>582</v>
      </c>
      <c r="H18" s="649">
        <f t="shared" si="3"/>
        <v>766</v>
      </c>
      <c r="I18" s="649">
        <f t="shared" si="3"/>
        <v>804</v>
      </c>
      <c r="J18" s="649">
        <f t="shared" si="3"/>
        <v>819</v>
      </c>
      <c r="K18" s="649">
        <f>SUM(K13,K14,K16,K17)</f>
        <v>832</v>
      </c>
      <c r="L18" s="99">
        <f>(+K18-F18)/F18</f>
        <v>0.55514018691588785</v>
      </c>
      <c r="M18" s="839"/>
      <c r="N18" s="840"/>
      <c r="O18" s="118"/>
      <c r="P18" s="118"/>
    </row>
    <row r="19" spans="1:16" ht="15" customHeight="1">
      <c r="B19" s="44">
        <v>130</v>
      </c>
      <c r="C19" s="48" t="str">
        <f>TEXT($B$1,"00")&amp;"."&amp;TEXT($B19,"000")&amp;"."&amp;TEXT('Campus Selector'!$G$6,"00")</f>
        <v>08.130.25</v>
      </c>
      <c r="D19" s="526"/>
      <c r="E19" s="158" t="s">
        <v>13</v>
      </c>
      <c r="F19" s="162">
        <v>317</v>
      </c>
      <c r="G19" s="162">
        <v>385</v>
      </c>
      <c r="H19" s="162">
        <v>326</v>
      </c>
      <c r="I19" s="162">
        <v>230</v>
      </c>
      <c r="J19" s="162">
        <v>87</v>
      </c>
      <c r="K19" s="162">
        <v>55</v>
      </c>
      <c r="L19" s="152">
        <f>(+K19-F19)/F19</f>
        <v>-0.82649842271293372</v>
      </c>
      <c r="M19" s="839"/>
      <c r="N19" s="840"/>
      <c r="O19" s="118"/>
      <c r="P19" s="118"/>
    </row>
    <row r="20" spans="1:16" ht="15" customHeight="1">
      <c r="B20" s="44">
        <v>131</v>
      </c>
      <c r="C20" s="48" t="str">
        <f>TEXT($B$1,"00")&amp;"."&amp;TEXT($B20,"000")&amp;"."&amp;TEXT('Campus Selector'!$G$6,"00")</f>
        <v>08.131.25</v>
      </c>
      <c r="D20" s="526"/>
      <c r="E20" s="92" t="s">
        <v>14</v>
      </c>
      <c r="F20" s="150">
        <v>0</v>
      </c>
      <c r="G20" s="150">
        <v>138</v>
      </c>
      <c r="H20" s="150">
        <v>209</v>
      </c>
      <c r="I20" s="150">
        <v>196</v>
      </c>
      <c r="J20" s="150">
        <v>151</v>
      </c>
      <c r="K20" s="150">
        <v>108</v>
      </c>
      <c r="L20" s="152" t="str">
        <f>IF(ISERROR((+K20-F20)/F20),"-",(+K20-F20)/F20)</f>
        <v>-</v>
      </c>
      <c r="M20" s="839"/>
      <c r="N20" s="840"/>
      <c r="O20" s="118"/>
      <c r="P20" s="118"/>
    </row>
    <row r="21" spans="1:16" ht="6" customHeight="1">
      <c r="C21" s="48"/>
      <c r="D21" s="526"/>
      <c r="E21" s="133"/>
      <c r="F21" s="161"/>
      <c r="G21" s="161"/>
      <c r="H21" s="161"/>
      <c r="I21" s="161"/>
      <c r="J21" s="161"/>
      <c r="K21" s="161"/>
      <c r="L21" s="156"/>
      <c r="M21" s="839"/>
      <c r="N21" s="840"/>
      <c r="O21" s="118"/>
      <c r="P21" s="118"/>
    </row>
    <row r="22" spans="1:16" s="290" customFormat="1" ht="15" customHeight="1">
      <c r="A22" s="159"/>
      <c r="B22" s="160"/>
      <c r="C22" s="286"/>
      <c r="D22" s="526"/>
      <c r="E22" s="179" t="s">
        <v>380</v>
      </c>
      <c r="F22" s="287">
        <f t="shared" ref="F22:K22" si="4">+F12/F$10</f>
        <v>0.17048192771084336</v>
      </c>
      <c r="G22" s="287">
        <f t="shared" si="4"/>
        <v>0.16634746922024624</v>
      </c>
      <c r="H22" s="287">
        <f t="shared" si="4"/>
        <v>0.20941176470588235</v>
      </c>
      <c r="I22" s="288">
        <f t="shared" si="4"/>
        <v>0.22301587301587303</v>
      </c>
      <c r="J22" s="288">
        <f t="shared" si="4"/>
        <v>0.24259681093394078</v>
      </c>
      <c r="K22" s="288">
        <f t="shared" si="4"/>
        <v>0.26477757464960389</v>
      </c>
      <c r="L22" s="275" t="s">
        <v>327</v>
      </c>
      <c r="M22" s="839"/>
      <c r="N22" s="840"/>
      <c r="O22" s="289"/>
      <c r="P22" s="289"/>
    </row>
    <row r="23" spans="1:16" ht="15" customHeight="1">
      <c r="B23" s="44">
        <v>415</v>
      </c>
      <c r="C23" s="48" t="str">
        <f>TEXT($B$1,"00")&amp;"."&amp;TEXT($B23,"000")&amp;"."&amp;TEXT('Campus Selector'!$J$9,"00")</f>
        <v>08.415.90</v>
      </c>
      <c r="D23" s="526"/>
      <c r="E23" s="243" t="s">
        <v>381</v>
      </c>
      <c r="F23" s="244">
        <v>0.17117863057095542</v>
      </c>
      <c r="G23" s="244">
        <v>0.21181689141234919</v>
      </c>
      <c r="H23" s="244">
        <v>0.23862676056338028</v>
      </c>
      <c r="I23" s="244">
        <v>0.25476436433583871</v>
      </c>
      <c r="J23" s="244">
        <v>0.26736983683148691</v>
      </c>
      <c r="K23" s="244">
        <v>0.28803911830996676</v>
      </c>
      <c r="L23" s="246" t="s">
        <v>327</v>
      </c>
      <c r="M23" s="839"/>
      <c r="N23" s="840"/>
      <c r="O23" s="118"/>
      <c r="P23" s="118"/>
    </row>
    <row r="24" spans="1:16" ht="6" customHeight="1">
      <c r="C24" s="48"/>
      <c r="D24" s="526"/>
      <c r="E24" s="133"/>
      <c r="F24" s="133"/>
      <c r="G24" s="133"/>
      <c r="H24" s="133"/>
      <c r="I24" s="133"/>
      <c r="J24" s="133"/>
      <c r="K24" s="133"/>
      <c r="L24" s="133"/>
      <c r="M24" s="839"/>
      <c r="N24" s="840"/>
      <c r="O24" s="118"/>
      <c r="P24" s="118"/>
    </row>
    <row r="25" spans="1:16" s="290" customFormat="1" ht="15" customHeight="1">
      <c r="A25" s="159"/>
      <c r="B25" s="160"/>
      <c r="C25" s="286"/>
      <c r="D25" s="526"/>
      <c r="E25" s="179" t="s">
        <v>382</v>
      </c>
      <c r="F25" s="287">
        <f t="shared" ref="F25:K25" si="5">+F18/F$10</f>
        <v>0.16114457831325302</v>
      </c>
      <c r="G25" s="287">
        <f t="shared" si="5"/>
        <v>0.15923392612859097</v>
      </c>
      <c r="H25" s="287">
        <f t="shared" si="5"/>
        <v>0.20026143790849674</v>
      </c>
      <c r="I25" s="288">
        <f t="shared" si="5"/>
        <v>0.21269841269841269</v>
      </c>
      <c r="J25" s="288">
        <f t="shared" si="5"/>
        <v>0.23320045558086561</v>
      </c>
      <c r="K25" s="288">
        <f t="shared" si="5"/>
        <v>0.2535039609993906</v>
      </c>
      <c r="L25" s="275" t="s">
        <v>327</v>
      </c>
      <c r="M25" s="839"/>
      <c r="N25" s="840"/>
      <c r="O25" s="289"/>
      <c r="P25" s="289"/>
    </row>
    <row r="26" spans="1:16" ht="15" customHeight="1">
      <c r="B26" s="44">
        <v>414</v>
      </c>
      <c r="C26" s="48" t="str">
        <f>TEXT($B$1,"00")&amp;"."&amp;TEXT($B26,"000")&amp;"."&amp;TEXT('Campus Selector'!$J$9,"00")</f>
        <v>08.414.90</v>
      </c>
      <c r="D26" s="526"/>
      <c r="E26" s="249" t="s">
        <v>383</v>
      </c>
      <c r="F26" s="250">
        <v>0.15008279933760529</v>
      </c>
      <c r="G26" s="250">
        <v>0.18545067423704756</v>
      </c>
      <c r="H26" s="250">
        <v>0.20658450704225353</v>
      </c>
      <c r="I26" s="250">
        <v>0.2233818971965946</v>
      </c>
      <c r="J26" s="250">
        <v>0.23314338300357484</v>
      </c>
      <c r="K26" s="250">
        <v>0.25201512778393248</v>
      </c>
      <c r="L26" s="251" t="s">
        <v>327</v>
      </c>
      <c r="M26" s="841"/>
      <c r="N26" s="842"/>
      <c r="O26" s="118"/>
      <c r="P26" s="118"/>
    </row>
    <row r="27" spans="1:16" ht="6.95" customHeight="1">
      <c r="C27" s="48"/>
      <c r="D27" s="526"/>
      <c r="E27" s="133"/>
      <c r="F27" s="163"/>
      <c r="G27" s="163"/>
      <c r="H27" s="163"/>
      <c r="I27" s="163"/>
      <c r="J27" s="163"/>
      <c r="K27" s="163"/>
      <c r="L27" s="156"/>
      <c r="M27" s="164"/>
      <c r="N27" s="164"/>
      <c r="O27" s="118"/>
      <c r="P27" s="118"/>
    </row>
    <row r="28" spans="1:16" ht="15" customHeight="1">
      <c r="C28" s="48"/>
      <c r="D28" s="526"/>
      <c r="E28" s="831" t="s">
        <v>391</v>
      </c>
      <c r="F28" s="832"/>
      <c r="G28" s="832"/>
      <c r="H28" s="832"/>
      <c r="I28" s="832"/>
      <c r="J28" s="832"/>
      <c r="K28" s="832"/>
      <c r="L28" s="832"/>
      <c r="M28" s="832"/>
      <c r="N28" s="833"/>
      <c r="O28" s="118"/>
      <c r="P28" s="118"/>
    </row>
    <row r="29" spans="1:16" ht="15" customHeight="1">
      <c r="C29" s="48"/>
      <c r="D29" s="526"/>
      <c r="E29" s="109" t="s">
        <v>0</v>
      </c>
      <c r="F29" s="183">
        <f t="shared" ref="F29:K29" si="6">+F10</f>
        <v>3320</v>
      </c>
      <c r="G29" s="183">
        <f t="shared" si="6"/>
        <v>3655</v>
      </c>
      <c r="H29" s="183">
        <f t="shared" si="6"/>
        <v>3825</v>
      </c>
      <c r="I29" s="183">
        <f t="shared" si="6"/>
        <v>3780</v>
      </c>
      <c r="J29" s="183">
        <f t="shared" si="6"/>
        <v>3512</v>
      </c>
      <c r="K29" s="183">
        <f t="shared" si="6"/>
        <v>3282</v>
      </c>
      <c r="L29" s="285">
        <f>(+K29-F29)/F29</f>
        <v>-1.144578313253012E-2</v>
      </c>
      <c r="M29" s="253">
        <f>+'Enrollment 5YR'!M9</f>
        <v>3600</v>
      </c>
      <c r="N29" s="252">
        <f>+'Enrollment 5YR'!N9</f>
        <v>3800</v>
      </c>
      <c r="O29" s="118"/>
      <c r="P29" s="118"/>
    </row>
    <row r="30" spans="1:16" ht="15" customHeight="1">
      <c r="B30" s="44">
        <v>132</v>
      </c>
      <c r="C30" s="48" t="str">
        <f>TEXT($B$1,"00")&amp;"."&amp;TEXT($B30,"000")&amp;"."&amp;TEXT('Campus Selector'!$G$6,"00")</f>
        <v>08.132.25</v>
      </c>
      <c r="D30" s="526"/>
      <c r="E30" s="92" t="s">
        <v>61</v>
      </c>
      <c r="F30" s="150">
        <v>1632</v>
      </c>
      <c r="G30" s="150">
        <v>1724</v>
      </c>
      <c r="H30" s="150">
        <v>1823</v>
      </c>
      <c r="I30" s="150">
        <v>1721</v>
      </c>
      <c r="J30" s="150">
        <v>1561</v>
      </c>
      <c r="K30" s="150">
        <v>1464</v>
      </c>
      <c r="L30" s="77">
        <f>(+K30-F30)/F30</f>
        <v>-0.10294117647058823</v>
      </c>
      <c r="M30" s="739">
        <v>1656</v>
      </c>
      <c r="N30" s="239">
        <v>1786</v>
      </c>
      <c r="O30" s="118"/>
      <c r="P30" s="118"/>
    </row>
    <row r="31" spans="1:16" ht="15" customHeight="1">
      <c r="B31" s="44">
        <v>133</v>
      </c>
      <c r="C31" s="48" t="str">
        <f>TEXT($B$1,"00")&amp;"."&amp;TEXT($B31,"000")&amp;"."&amp;TEXT('Campus Selector'!$G$6,"00")</f>
        <v>08.133.25</v>
      </c>
      <c r="D31" s="526"/>
      <c r="E31" s="92" t="s">
        <v>62</v>
      </c>
      <c r="F31" s="150">
        <v>1688</v>
      </c>
      <c r="G31" s="150">
        <v>1931</v>
      </c>
      <c r="H31" s="150">
        <v>2002</v>
      </c>
      <c r="I31" s="150">
        <v>2059</v>
      </c>
      <c r="J31" s="150">
        <v>1951</v>
      </c>
      <c r="K31" s="150">
        <v>1818</v>
      </c>
      <c r="L31" s="77">
        <f>(+K31-F31)/F31</f>
        <v>7.7014218009478677E-2</v>
      </c>
      <c r="M31" s="739">
        <v>1944</v>
      </c>
      <c r="N31" s="239">
        <v>2014</v>
      </c>
      <c r="O31" s="118"/>
      <c r="P31" s="118"/>
    </row>
    <row r="32" spans="1:16" ht="6" customHeight="1">
      <c r="C32" s="48"/>
      <c r="D32" s="526"/>
      <c r="E32" s="133"/>
      <c r="F32" s="161"/>
      <c r="G32" s="161"/>
      <c r="H32" s="161"/>
      <c r="I32" s="161"/>
      <c r="J32" s="161"/>
      <c r="K32" s="161"/>
      <c r="L32" s="103"/>
      <c r="M32" s="194"/>
      <c r="N32" s="194"/>
      <c r="O32" s="118"/>
      <c r="P32" s="118"/>
    </row>
    <row r="33" spans="1:16" s="290" customFormat="1" ht="15" customHeight="1">
      <c r="A33" s="159"/>
      <c r="B33" s="160"/>
      <c r="C33" s="286"/>
      <c r="D33" s="526"/>
      <c r="E33" s="179" t="s">
        <v>384</v>
      </c>
      <c r="F33" s="287">
        <f t="shared" ref="F33:K33" si="7">+F30/F$10</f>
        <v>0.49156626506024098</v>
      </c>
      <c r="G33" s="287">
        <f t="shared" si="7"/>
        <v>0.47168262653898768</v>
      </c>
      <c r="H33" s="287">
        <f t="shared" si="7"/>
        <v>0.47660130718954247</v>
      </c>
      <c r="I33" s="288">
        <f t="shared" si="7"/>
        <v>0.4552910052910053</v>
      </c>
      <c r="J33" s="288">
        <f t="shared" si="7"/>
        <v>0.44447608200455579</v>
      </c>
      <c r="K33" s="288">
        <f t="shared" si="7"/>
        <v>0.44606946983546619</v>
      </c>
      <c r="L33" s="275" t="s">
        <v>327</v>
      </c>
      <c r="M33" s="288">
        <f>IF(OR(M30=0,ISERROR(+M30/M$29)),"",+M30/M$29)</f>
        <v>0.46</v>
      </c>
      <c r="N33" s="288">
        <f>IF(OR(N30=0,ISERROR(+N30/N$29)),"",+N30/N$29)</f>
        <v>0.47</v>
      </c>
      <c r="O33" s="289"/>
      <c r="P33" s="289"/>
    </row>
    <row r="34" spans="1:16" ht="15" customHeight="1">
      <c r="B34" s="44">
        <v>305</v>
      </c>
      <c r="C34" s="48" t="str">
        <f>TEXT($B$1,"00")&amp;"."&amp;TEXT($B34,"000")&amp;"."&amp;TEXT('Campus Selector'!$J$9,"00")</f>
        <v>08.305.90</v>
      </c>
      <c r="D34" s="526"/>
      <c r="E34" s="243" t="s">
        <v>386</v>
      </c>
      <c r="F34" s="244">
        <v>0.56371949024407808</v>
      </c>
      <c r="G34" s="244">
        <v>0.56371949024407808</v>
      </c>
      <c r="H34" s="244">
        <v>0.56371949024407808</v>
      </c>
      <c r="I34" s="245">
        <v>0.56371949024407808</v>
      </c>
      <c r="J34" s="245">
        <v>0.56371949024407808</v>
      </c>
      <c r="K34" s="245">
        <v>0.56371949024407808</v>
      </c>
      <c r="L34" s="246" t="s">
        <v>327</v>
      </c>
      <c r="M34" s="247" t="s">
        <v>327</v>
      </c>
      <c r="N34" s="247" t="s">
        <v>327</v>
      </c>
      <c r="O34" s="118"/>
      <c r="P34" s="118"/>
    </row>
    <row r="35" spans="1:16" ht="6" customHeight="1">
      <c r="C35" s="48"/>
      <c r="D35" s="526"/>
      <c r="E35" s="133"/>
      <c r="F35" s="185"/>
      <c r="G35" s="185"/>
      <c r="H35" s="185"/>
      <c r="I35" s="186"/>
      <c r="J35" s="186"/>
      <c r="K35" s="186"/>
      <c r="L35" s="103"/>
      <c r="M35" s="186"/>
      <c r="N35" s="186"/>
      <c r="O35" s="118"/>
      <c r="P35" s="118"/>
    </row>
    <row r="36" spans="1:16" s="290" customFormat="1" ht="15" customHeight="1">
      <c r="A36" s="159"/>
      <c r="B36" s="160"/>
      <c r="C36" s="159"/>
      <c r="D36" s="526"/>
      <c r="E36" s="179" t="s">
        <v>385</v>
      </c>
      <c r="F36" s="287">
        <f t="shared" ref="F36:K36" si="8">+F31/F$10</f>
        <v>0.50843373493975907</v>
      </c>
      <c r="G36" s="287">
        <f t="shared" si="8"/>
        <v>0.52831737346101226</v>
      </c>
      <c r="H36" s="287">
        <f t="shared" si="8"/>
        <v>0.52339869281045748</v>
      </c>
      <c r="I36" s="288">
        <f t="shared" si="8"/>
        <v>0.5447089947089947</v>
      </c>
      <c r="J36" s="288">
        <f t="shared" si="8"/>
        <v>0.55552391799544421</v>
      </c>
      <c r="K36" s="288">
        <f t="shared" si="8"/>
        <v>0.55393053016453386</v>
      </c>
      <c r="L36" s="275" t="s">
        <v>327</v>
      </c>
      <c r="M36" s="288">
        <f>IF(OR(M31=0,ISERROR(+M31/M$29)),"",+M31/M$29)</f>
        <v>0.54</v>
      </c>
      <c r="N36" s="288">
        <f>IF(OR(N31=0,ISERROR(+N31/N$29)),"",+N31/N$29)</f>
        <v>0.53</v>
      </c>
      <c r="O36" s="289"/>
      <c r="P36" s="289"/>
    </row>
    <row r="37" spans="1:16" ht="15" customHeight="1">
      <c r="B37" s="44">
        <v>306</v>
      </c>
      <c r="C37" s="48" t="str">
        <f>TEXT($B$1,"00")&amp;"."&amp;TEXT($B37,"000")&amp;"."&amp;TEXT('Campus Selector'!$J$9,"00")</f>
        <v>08.306.90</v>
      </c>
      <c r="D37" s="526"/>
      <c r="E37" s="243" t="s">
        <v>387</v>
      </c>
      <c r="F37" s="244">
        <v>0.43628050975592197</v>
      </c>
      <c r="G37" s="244">
        <v>0.43628050975592197</v>
      </c>
      <c r="H37" s="244">
        <v>0.43628050975592197</v>
      </c>
      <c r="I37" s="245">
        <v>0.43628050975592197</v>
      </c>
      <c r="J37" s="245">
        <v>0.43628050975592197</v>
      </c>
      <c r="K37" s="245">
        <v>0.43628050975592197</v>
      </c>
      <c r="L37" s="246" t="s">
        <v>327</v>
      </c>
      <c r="M37" s="247" t="s">
        <v>327</v>
      </c>
      <c r="N37" s="247" t="s">
        <v>327</v>
      </c>
      <c r="O37" s="118"/>
      <c r="P37" s="118"/>
    </row>
    <row r="38" spans="1:16" ht="6.95" customHeight="1">
      <c r="C38" s="48"/>
      <c r="D38" s="526"/>
      <c r="E38" s="133"/>
      <c r="F38" s="163"/>
      <c r="G38" s="163"/>
      <c r="H38" s="163"/>
      <c r="I38" s="163"/>
      <c r="J38" s="163"/>
      <c r="K38" s="163"/>
      <c r="L38" s="156"/>
      <c r="M38" s="164"/>
      <c r="N38" s="164"/>
      <c r="O38" s="118"/>
      <c r="P38" s="118"/>
    </row>
    <row r="39" spans="1:16" ht="15" customHeight="1">
      <c r="C39" s="48"/>
      <c r="D39" s="526"/>
      <c r="E39" s="834" t="s">
        <v>392</v>
      </c>
      <c r="F39" s="835"/>
      <c r="G39" s="835"/>
      <c r="H39" s="835"/>
      <c r="I39" s="835"/>
      <c r="J39" s="835"/>
      <c r="K39" s="835"/>
      <c r="L39" s="835"/>
      <c r="M39" s="835"/>
      <c r="N39" s="836"/>
      <c r="O39" s="118"/>
      <c r="P39" s="118"/>
    </row>
    <row r="40" spans="1:16" ht="15" customHeight="1">
      <c r="B40" s="44">
        <v>309</v>
      </c>
      <c r="C40" s="48" t="str">
        <f>TEXT($B$1,"00")&amp;"."&amp;TEXT($B40,"000")&amp;"."&amp;TEXT('Campus Selector'!$G$6,"00")</f>
        <v>08.309.25</v>
      </c>
      <c r="D40" s="526"/>
      <c r="E40" s="92" t="s">
        <v>497</v>
      </c>
      <c r="F40" s="268" t="s">
        <v>187</v>
      </c>
      <c r="G40" s="268" t="s">
        <v>187</v>
      </c>
      <c r="H40" s="512">
        <v>3234</v>
      </c>
      <c r="I40" s="512">
        <v>3402</v>
      </c>
      <c r="J40" s="512">
        <v>3271</v>
      </c>
      <c r="K40" s="512">
        <v>3093</v>
      </c>
      <c r="L40" s="380" t="s">
        <v>327</v>
      </c>
      <c r="M40" s="739">
        <v>3400</v>
      </c>
      <c r="N40" s="239">
        <v>3580</v>
      </c>
      <c r="O40" s="118"/>
      <c r="P40" s="118"/>
    </row>
    <row r="41" spans="1:16" ht="15" customHeight="1">
      <c r="B41" s="44">
        <v>308</v>
      </c>
      <c r="C41" s="48" t="str">
        <f>TEXT($B$1,"00")&amp;"."&amp;TEXT($B41,"000")&amp;"."&amp;TEXT('Campus Selector'!$G$6,"00")</f>
        <v>08.308.25</v>
      </c>
      <c r="D41" s="526"/>
      <c r="E41" s="92" t="s">
        <v>285</v>
      </c>
      <c r="F41" s="268" t="s">
        <v>187</v>
      </c>
      <c r="G41" s="268" t="s">
        <v>187</v>
      </c>
      <c r="H41" s="512">
        <v>2005</v>
      </c>
      <c r="I41" s="512">
        <v>2078</v>
      </c>
      <c r="J41" s="512">
        <v>1952</v>
      </c>
      <c r="K41" s="512">
        <v>1799</v>
      </c>
      <c r="L41" s="380" t="s">
        <v>327</v>
      </c>
      <c r="M41" s="739">
        <v>2040</v>
      </c>
      <c r="N41" s="239">
        <v>2148</v>
      </c>
      <c r="O41" s="118"/>
      <c r="P41" s="118"/>
    </row>
    <row r="42" spans="1:16" ht="6" customHeight="1">
      <c r="C42" s="48"/>
      <c r="D42" s="526"/>
      <c r="E42" s="291"/>
      <c r="F42" s="291"/>
      <c r="G42" s="291"/>
      <c r="H42" s="291"/>
      <c r="I42" s="291"/>
      <c r="J42" s="291"/>
      <c r="K42" s="291"/>
      <c r="L42" s="291"/>
      <c r="M42" s="291"/>
      <c r="N42" s="291"/>
      <c r="O42" s="118"/>
      <c r="P42" s="118"/>
    </row>
    <row r="43" spans="1:16" s="290" customFormat="1">
      <c r="A43" s="159"/>
      <c r="B43" s="160"/>
      <c r="C43" s="48"/>
      <c r="D43" s="526"/>
      <c r="E43" s="179" t="s">
        <v>388</v>
      </c>
      <c r="F43" s="740" t="s">
        <v>327</v>
      </c>
      <c r="G43" s="740" t="s">
        <v>327</v>
      </c>
      <c r="H43" s="287">
        <f>IF(ISERROR(+H41/H40),"-",+H41/H40)</f>
        <v>0.61997526283240567</v>
      </c>
      <c r="I43" s="287">
        <f>IF(ISERROR(+I41/I40),"-",+I41/I40)</f>
        <v>0.61081716637272188</v>
      </c>
      <c r="J43" s="287">
        <f>IF(ISERROR(+J41/J40),"-",+J41/J40)</f>
        <v>0.596759400794864</v>
      </c>
      <c r="K43" s="287">
        <f>IF(ISERROR(+K41/K40),"-",+K41/K40)</f>
        <v>0.58163595215001618</v>
      </c>
      <c r="L43" s="292" t="s">
        <v>327</v>
      </c>
      <c r="M43" s="288">
        <f>IF(ISERROR(+M41/M40),"",+M41/M40)</f>
        <v>0.6</v>
      </c>
      <c r="N43" s="288">
        <f>IF(ISERROR(+N41/N40),"",+N41/N40)</f>
        <v>0.6</v>
      </c>
      <c r="O43" s="289"/>
      <c r="P43" s="289"/>
    </row>
    <row r="44" spans="1:16" ht="15" customHeight="1">
      <c r="B44" s="44">
        <v>325</v>
      </c>
      <c r="C44" s="48" t="str">
        <f>TEXT($B$1,"00")&amp;"."&amp;TEXT($B44,"000")&amp;"."&amp;TEXT('Campus Selector'!$J$9,"00")</f>
        <v>08.325.90</v>
      </c>
      <c r="D44" s="526"/>
      <c r="E44" s="243" t="s">
        <v>389</v>
      </c>
      <c r="F44" s="244" t="s">
        <v>187</v>
      </c>
      <c r="G44" s="244" t="s">
        <v>187</v>
      </c>
      <c r="H44" s="244">
        <v>0.4573973201860761</v>
      </c>
      <c r="I44" s="245">
        <v>0.4481887775234788</v>
      </c>
      <c r="J44" s="245">
        <v>0.44995696063854762</v>
      </c>
      <c r="K44" s="245">
        <v>0.48121351640220339</v>
      </c>
      <c r="L44" s="248" t="s">
        <v>327</v>
      </c>
      <c r="M44" s="247" t="s">
        <v>327</v>
      </c>
      <c r="N44" s="247" t="s">
        <v>327</v>
      </c>
      <c r="O44" s="118"/>
      <c r="P44" s="118"/>
    </row>
    <row r="45" spans="1:16" ht="6.95" customHeight="1">
      <c r="C45" s="48"/>
      <c r="D45" s="526"/>
      <c r="E45" s="69"/>
      <c r="F45" s="70"/>
      <c r="G45" s="70"/>
      <c r="H45" s="70"/>
      <c r="I45" s="70"/>
      <c r="J45" s="70"/>
    </row>
    <row r="46" spans="1:16" ht="15" customHeight="1">
      <c r="C46" s="48"/>
      <c r="D46" s="526"/>
      <c r="E46" s="834" t="s">
        <v>638</v>
      </c>
      <c r="F46" s="835"/>
      <c r="G46" s="835"/>
      <c r="H46" s="835"/>
      <c r="I46" s="835"/>
      <c r="J46" s="835"/>
      <c r="K46" s="835"/>
      <c r="L46" s="835"/>
      <c r="M46" s="835"/>
      <c r="N46" s="836"/>
      <c r="O46" s="118"/>
      <c r="P46" s="118"/>
    </row>
    <row r="47" spans="1:16" ht="15" customHeight="1">
      <c r="B47" s="44">
        <v>123</v>
      </c>
      <c r="C47" s="48" t="str">
        <f>TEXT($B$1,"00")&amp;"."&amp;TEXT($B47,"000")&amp;"."&amp;TEXT('Campus Selector'!$G$6,"00")</f>
        <v>08.123.25</v>
      </c>
      <c r="D47" s="526"/>
      <c r="E47" s="92" t="s">
        <v>638</v>
      </c>
      <c r="F47" s="268">
        <v>289</v>
      </c>
      <c r="G47" s="268">
        <v>282</v>
      </c>
      <c r="H47" s="512">
        <v>287</v>
      </c>
      <c r="I47" s="512">
        <v>260</v>
      </c>
      <c r="J47" s="512">
        <v>245</v>
      </c>
      <c r="K47" s="512">
        <v>231</v>
      </c>
      <c r="L47" s="380" t="s">
        <v>327</v>
      </c>
      <c r="M47" s="108">
        <v>245</v>
      </c>
      <c r="N47" s="108">
        <v>245</v>
      </c>
      <c r="O47" s="118"/>
      <c r="P47" s="118"/>
    </row>
    <row r="48" spans="1:16" ht="6" customHeight="1">
      <c r="C48" s="48"/>
      <c r="D48" s="526"/>
      <c r="E48" s="647"/>
      <c r="F48" s="647"/>
      <c r="G48" s="647"/>
      <c r="H48" s="647"/>
      <c r="I48" s="647"/>
      <c r="J48" s="647"/>
      <c r="K48" s="647"/>
      <c r="L48" s="647"/>
      <c r="M48" s="647"/>
      <c r="N48" s="647"/>
      <c r="O48" s="118"/>
      <c r="P48" s="118"/>
    </row>
    <row r="49" spans="3:16" ht="15" customHeight="1">
      <c r="C49" s="48"/>
      <c r="D49" s="526"/>
      <c r="E49" s="821" t="s">
        <v>345</v>
      </c>
      <c r="F49" s="821"/>
      <c r="G49" s="821"/>
      <c r="H49" s="821"/>
      <c r="I49" s="821"/>
      <c r="J49" s="821"/>
      <c r="K49" s="821"/>
      <c r="L49" s="821"/>
      <c r="M49" s="154"/>
      <c r="N49" s="154"/>
      <c r="O49" s="118"/>
      <c r="P49" s="118"/>
    </row>
    <row r="50" spans="3:16" ht="19.5" customHeight="1">
      <c r="D50" s="526"/>
      <c r="E50" s="827" t="s">
        <v>498</v>
      </c>
      <c r="F50" s="827"/>
      <c r="G50" s="827"/>
      <c r="H50" s="827"/>
      <c r="I50" s="827"/>
      <c r="J50" s="827"/>
      <c r="K50" s="827"/>
      <c r="L50" s="827"/>
      <c r="M50" s="118"/>
      <c r="N50" s="118"/>
      <c r="O50" s="118"/>
      <c r="P50" s="118"/>
    </row>
    <row r="51" spans="3:16" ht="6" customHeight="1">
      <c r="D51" s="526"/>
      <c r="E51" s="118"/>
      <c r="F51" s="118"/>
      <c r="G51" s="118"/>
      <c r="H51" s="118"/>
      <c r="I51" s="118"/>
      <c r="J51" s="118"/>
      <c r="K51" s="118"/>
      <c r="L51" s="118"/>
      <c r="M51" s="118"/>
      <c r="N51" s="118"/>
      <c r="O51" s="118"/>
      <c r="P51" s="118"/>
    </row>
    <row r="52" spans="3:16" ht="15" customHeight="1">
      <c r="D52" s="526"/>
      <c r="E52" s="121" t="s">
        <v>260</v>
      </c>
      <c r="F52" s="122"/>
      <c r="G52" s="123"/>
      <c r="H52" s="122"/>
      <c r="I52" s="122"/>
      <c r="J52" s="122"/>
      <c r="K52" s="122"/>
      <c r="L52" s="123"/>
      <c r="M52" s="124"/>
      <c r="N52" s="124"/>
      <c r="O52" s="118"/>
      <c r="P52" s="118"/>
    </row>
    <row r="53" spans="3:16" ht="15" customHeight="1">
      <c r="D53" s="526"/>
      <c r="E53" s="814"/>
      <c r="F53" s="814"/>
      <c r="G53" s="814"/>
      <c r="H53" s="814"/>
      <c r="I53" s="814"/>
      <c r="J53" s="814"/>
      <c r="K53" s="814"/>
      <c r="L53" s="814"/>
      <c r="M53" s="814"/>
      <c r="N53" s="814"/>
    </row>
    <row r="54" spans="3:16" ht="15" customHeight="1">
      <c r="D54" s="526"/>
      <c r="E54" s="814"/>
      <c r="F54" s="814"/>
      <c r="G54" s="814"/>
      <c r="H54" s="814"/>
      <c r="I54" s="814"/>
      <c r="J54" s="814"/>
      <c r="K54" s="814"/>
      <c r="L54" s="814"/>
      <c r="M54" s="814"/>
      <c r="N54" s="814"/>
    </row>
  </sheetData>
  <mergeCells count="11">
    <mergeCell ref="R5:V5"/>
    <mergeCell ref="E53:N54"/>
    <mergeCell ref="E50:L50"/>
    <mergeCell ref="E5:N5"/>
    <mergeCell ref="E6:N6"/>
    <mergeCell ref="E9:N9"/>
    <mergeCell ref="E28:N28"/>
    <mergeCell ref="E39:N39"/>
    <mergeCell ref="E49:L49"/>
    <mergeCell ref="E46:N46"/>
    <mergeCell ref="M10:N26"/>
  </mergeCells>
  <phoneticPr fontId="5" type="noConversion"/>
  <printOptions horizontalCentered="1"/>
  <pageMargins left="0.2" right="0.2" top="0.5" bottom="0.5" header="0.3" footer="0.3"/>
  <pageSetup scale="75" fitToWidth="0" orientation="landscape" horizontalDpi="300" verticalDpi="300" r:id="rId1"/>
  <headerFooter alignWithMargins="0">
    <oddFooter>&amp;LState University of New York System Administration&amp;R&amp;G</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V67"/>
  <sheetViews>
    <sheetView showGridLines="0" topLeftCell="D4" zoomScaleNormal="100" workbookViewId="0">
      <selection activeCell="N11" sqref="N11"/>
    </sheetView>
  </sheetViews>
  <sheetFormatPr defaultColWidth="9.140625" defaultRowHeight="15" customHeight="1"/>
  <cols>
    <col min="1" max="1" width="9.140625" style="32" hidden="1" customWidth="1"/>
    <col min="2" max="2" width="8" style="44" hidden="1" customWidth="1"/>
    <col min="3" max="3" width="11.7109375" style="32" hidden="1" customWidth="1"/>
    <col min="4" max="4" width="10" style="50" customWidth="1"/>
    <col min="5" max="5" width="32.85546875" style="61" customWidth="1"/>
    <col min="6" max="12" width="10" style="53" customWidth="1"/>
    <col min="13" max="14" width="10" style="1" customWidth="1"/>
    <col min="15" max="16384" width="9.140625" style="1"/>
  </cols>
  <sheetData>
    <row r="1" spans="1:22" s="32" customFormat="1" ht="15" hidden="1" customHeight="1">
      <c r="A1" s="32" t="s">
        <v>254</v>
      </c>
      <c r="B1" s="44">
        <v>2</v>
      </c>
      <c r="E1" s="67" t="s">
        <v>272</v>
      </c>
      <c r="F1" s="44">
        <v>20</v>
      </c>
      <c r="G1" s="44">
        <f>F1+1</f>
        <v>21</v>
      </c>
      <c r="H1" s="44">
        <f>G1+1</f>
        <v>22</v>
      </c>
      <c r="I1" s="44">
        <f>H1+1</f>
        <v>23</v>
      </c>
      <c r="J1" s="44">
        <f>I1+1</f>
        <v>24</v>
      </c>
      <c r="K1" s="44">
        <f>+J1+1</f>
        <v>25</v>
      </c>
      <c r="L1" s="45"/>
      <c r="M1" s="32">
        <v>27</v>
      </c>
      <c r="N1" s="32">
        <f>M1+1</f>
        <v>28</v>
      </c>
    </row>
    <row r="2" spans="1:22" s="32" customFormat="1" ht="15" hidden="1" customHeight="1">
      <c r="B2" s="44"/>
      <c r="E2" s="67" t="s">
        <v>273</v>
      </c>
      <c r="F2" s="32">
        <v>18</v>
      </c>
      <c r="G2" s="32">
        <f t="shared" ref="G2:J3" si="0">+F2+1</f>
        <v>19</v>
      </c>
      <c r="H2" s="32">
        <f t="shared" si="0"/>
        <v>20</v>
      </c>
      <c r="I2" s="32">
        <f t="shared" si="0"/>
        <v>21</v>
      </c>
      <c r="J2" s="32">
        <f t="shared" si="0"/>
        <v>22</v>
      </c>
      <c r="K2" s="32">
        <f>+J2+1</f>
        <v>23</v>
      </c>
      <c r="M2" s="32">
        <v>25</v>
      </c>
      <c r="N2" s="32">
        <f>+M2+1</f>
        <v>26</v>
      </c>
    </row>
    <row r="3" spans="1:22" s="32" customFormat="1" ht="15" hidden="1" customHeight="1">
      <c r="B3" s="44"/>
      <c r="E3" s="67" t="s">
        <v>274</v>
      </c>
      <c r="F3" s="32">
        <v>15</v>
      </c>
      <c r="G3" s="32">
        <f t="shared" si="0"/>
        <v>16</v>
      </c>
      <c r="H3" s="32">
        <f t="shared" si="0"/>
        <v>17</v>
      </c>
      <c r="I3" s="32">
        <f t="shared" si="0"/>
        <v>18</v>
      </c>
      <c r="J3" s="32">
        <f t="shared" si="0"/>
        <v>19</v>
      </c>
      <c r="K3" s="32">
        <f>+J3+1</f>
        <v>20</v>
      </c>
    </row>
    <row r="5" spans="1:22" ht="15" customHeight="1">
      <c r="E5" s="815" t="str">
        <f>"Attachment 2: Data Summary and Detail Tables - "&amp;'Campus Selector'!$G$3</f>
        <v>Attachment 2: Data Summary and Detail Tables - Canton</v>
      </c>
      <c r="F5" s="815"/>
      <c r="G5" s="815"/>
      <c r="H5" s="815"/>
      <c r="I5" s="815"/>
      <c r="J5" s="815"/>
      <c r="K5" s="815"/>
      <c r="L5" s="815"/>
      <c r="M5" s="815"/>
      <c r="N5" s="815"/>
      <c r="R5" s="813"/>
      <c r="S5" s="813"/>
      <c r="T5" s="813"/>
      <c r="U5" s="813"/>
      <c r="V5" s="813"/>
    </row>
    <row r="6" spans="1:22" ht="15" customHeight="1">
      <c r="E6" s="843" t="s">
        <v>83</v>
      </c>
      <c r="F6" s="816"/>
      <c r="G6" s="816"/>
      <c r="H6" s="816"/>
      <c r="I6" s="816"/>
      <c r="J6" s="816"/>
      <c r="K6" s="816"/>
      <c r="L6" s="816"/>
      <c r="M6" s="816"/>
      <c r="N6" s="816"/>
    </row>
    <row r="7" spans="1:22">
      <c r="D7" s="526"/>
      <c r="E7" s="701"/>
      <c r="F7" s="701"/>
      <c r="G7" s="701"/>
      <c r="H7" s="701"/>
      <c r="I7" s="701"/>
      <c r="J7" s="701"/>
      <c r="K7" s="701"/>
      <c r="L7" s="701"/>
      <c r="M7" s="701"/>
    </row>
    <row r="8" spans="1:22" ht="45" customHeight="1">
      <c r="B8" s="47" t="s">
        <v>253</v>
      </c>
      <c r="C8" s="48"/>
      <c r="D8" s="526"/>
      <c r="E8" s="715" t="s">
        <v>463</v>
      </c>
      <c r="F8" s="98" t="s">
        <v>49</v>
      </c>
      <c r="G8" s="98" t="s">
        <v>50</v>
      </c>
      <c r="H8" s="98" t="s">
        <v>51</v>
      </c>
      <c r="I8" s="98" t="s">
        <v>52</v>
      </c>
      <c r="J8" s="98" t="s">
        <v>53</v>
      </c>
      <c r="K8" s="98" t="s">
        <v>261</v>
      </c>
      <c r="L8" s="98" t="s">
        <v>416</v>
      </c>
      <c r="M8" s="98" t="s">
        <v>231</v>
      </c>
      <c r="N8" s="98" t="s">
        <v>54</v>
      </c>
    </row>
    <row r="9" spans="1:22" ht="15" customHeight="1">
      <c r="B9" s="47"/>
      <c r="C9" s="48"/>
      <c r="D9" s="526"/>
      <c r="E9" s="831" t="s">
        <v>41</v>
      </c>
      <c r="F9" s="832"/>
      <c r="G9" s="832"/>
      <c r="H9" s="832"/>
      <c r="I9" s="832"/>
      <c r="J9" s="832"/>
      <c r="K9" s="832"/>
      <c r="L9" s="832"/>
      <c r="M9" s="832"/>
      <c r="N9" s="833"/>
    </row>
    <row r="10" spans="1:22" ht="15" customHeight="1">
      <c r="B10" s="47"/>
      <c r="C10" s="48"/>
      <c r="D10" s="526"/>
      <c r="E10" s="179" t="s">
        <v>42</v>
      </c>
      <c r="F10" s="95">
        <f>SUM(F11,F12)</f>
        <v>195</v>
      </c>
      <c r="G10" s="95">
        <f>SUM(G11,G12)</f>
        <v>207</v>
      </c>
      <c r="H10" s="95">
        <f>SUM(H11,H12)</f>
        <v>206</v>
      </c>
      <c r="I10" s="180">
        <f>SUM(I11,I12)</f>
        <v>216</v>
      </c>
      <c r="J10" s="180">
        <f>SUM(J11,J12)</f>
        <v>228</v>
      </c>
      <c r="K10" s="180" t="s">
        <v>187</v>
      </c>
      <c r="L10" s="275">
        <f>(+J10-F10)/F10</f>
        <v>0.16923076923076924</v>
      </c>
      <c r="M10" s="741">
        <f>IF(SUM(M11,M12)=0,"",SUM(M11,M12))</f>
        <v>228</v>
      </c>
      <c r="N10" s="547">
        <f>IF(SUM(N11,N12)=0,"",SUM(N11,N12))</f>
        <v>235</v>
      </c>
    </row>
    <row r="11" spans="1:22" ht="15" customHeight="1">
      <c r="B11" s="44">
        <v>22</v>
      </c>
      <c r="C11" s="48" t="str">
        <f>TEXT($B$1,"00")&amp;"."&amp;TEXT($B11,"000")&amp;"."&amp;TEXT('Campus Selector'!$G$6,"00")</f>
        <v>02.022.25</v>
      </c>
      <c r="D11" s="526"/>
      <c r="E11" s="92" t="s">
        <v>286</v>
      </c>
      <c r="F11" s="135">
        <v>113</v>
      </c>
      <c r="G11" s="135">
        <v>120</v>
      </c>
      <c r="H11" s="135">
        <v>116</v>
      </c>
      <c r="I11" s="135">
        <v>125</v>
      </c>
      <c r="J11" s="135">
        <v>131</v>
      </c>
      <c r="K11" s="396" t="s">
        <v>327</v>
      </c>
      <c r="L11" s="77">
        <f>(+J11-F11)/F11</f>
        <v>0.15929203539823009</v>
      </c>
      <c r="M11" s="742">
        <v>130</v>
      </c>
      <c r="N11" s="261">
        <v>135</v>
      </c>
    </row>
    <row r="12" spans="1:22" ht="15" customHeight="1">
      <c r="B12" s="44">
        <v>23</v>
      </c>
      <c r="C12" s="48" t="str">
        <f>TEXT($B$1,"00")&amp;"."&amp;TEXT($B12,"000")&amp;"."&amp;TEXT('Campus Selector'!$G$6,"00")</f>
        <v>02.023.25</v>
      </c>
      <c r="D12" s="526"/>
      <c r="E12" s="92" t="s">
        <v>293</v>
      </c>
      <c r="F12" s="135">
        <v>82</v>
      </c>
      <c r="G12" s="135">
        <v>87</v>
      </c>
      <c r="H12" s="135">
        <v>90</v>
      </c>
      <c r="I12" s="83">
        <v>91</v>
      </c>
      <c r="J12" s="83">
        <v>97</v>
      </c>
      <c r="K12" s="397" t="s">
        <v>327</v>
      </c>
      <c r="L12" s="72">
        <f>(+J12-F12)/F12</f>
        <v>0.18292682926829268</v>
      </c>
      <c r="M12" s="742">
        <v>98</v>
      </c>
      <c r="N12" s="261">
        <v>100</v>
      </c>
    </row>
    <row r="13" spans="1:22" ht="6" customHeight="1">
      <c r="C13" s="48"/>
      <c r="D13" s="526"/>
      <c r="E13" s="133"/>
      <c r="F13" s="178"/>
      <c r="G13" s="178"/>
      <c r="H13" s="178"/>
      <c r="I13" s="167"/>
      <c r="J13" s="167"/>
      <c r="K13" s="167"/>
      <c r="L13" s="75"/>
      <c r="M13" s="188"/>
      <c r="N13" s="188"/>
    </row>
    <row r="14" spans="1:22" s="290" customFormat="1" ht="15" customHeight="1">
      <c r="A14" s="159"/>
      <c r="B14" s="160"/>
      <c r="C14" s="286"/>
      <c r="D14" s="526"/>
      <c r="E14" s="302" t="s">
        <v>343</v>
      </c>
      <c r="F14" s="275">
        <f>+F11/F10</f>
        <v>0.57948717948717954</v>
      </c>
      <c r="G14" s="275">
        <f>+G11/G10</f>
        <v>0.57971014492753625</v>
      </c>
      <c r="H14" s="275">
        <f>+H11/H10</f>
        <v>0.56310679611650483</v>
      </c>
      <c r="I14" s="275">
        <f>+I11/I10</f>
        <v>0.57870370370370372</v>
      </c>
      <c r="J14" s="275">
        <f>+J11/J10</f>
        <v>0.57456140350877194</v>
      </c>
      <c r="K14" s="292" t="s">
        <v>327</v>
      </c>
      <c r="L14" s="424" t="s">
        <v>327</v>
      </c>
      <c r="M14" s="275">
        <f>IF(ISERROR(+M11/M10),"",+M11/M10)</f>
        <v>0.57017543859649122</v>
      </c>
      <c r="N14" s="303">
        <f>IF(ISERROR(+N11/N10),"",+N11/N10)</f>
        <v>0.57446808510638303</v>
      </c>
    </row>
    <row r="15" spans="1:22" ht="15" customHeight="1">
      <c r="B15" s="44">
        <v>403</v>
      </c>
      <c r="C15" s="48" t="str">
        <f>TEXT($B$1,"00")&amp;"."&amp;TEXT($B15,"000")&amp;"."&amp;TEXT('Campus Selector'!$J$9,"00")</f>
        <v>02.403.90</v>
      </c>
      <c r="D15" s="526"/>
      <c r="E15" s="243" t="s">
        <v>284</v>
      </c>
      <c r="F15" s="256">
        <v>0.51624365482233503</v>
      </c>
      <c r="G15" s="256">
        <v>0.52020460358056264</v>
      </c>
      <c r="H15" s="256">
        <v>0.52147549267306725</v>
      </c>
      <c r="I15" s="256">
        <v>0.52201880257298372</v>
      </c>
      <c r="J15" s="256">
        <v>0.49485981308411214</v>
      </c>
      <c r="K15" s="255" t="s">
        <v>327</v>
      </c>
      <c r="L15" s="425" t="s">
        <v>327</v>
      </c>
      <c r="M15" s="425" t="s">
        <v>327</v>
      </c>
      <c r="N15" s="255" t="s">
        <v>327</v>
      </c>
    </row>
    <row r="16" spans="1:22" ht="6" customHeight="1">
      <c r="C16" s="48"/>
      <c r="D16" s="526"/>
      <c r="E16" s="133"/>
      <c r="F16" s="178"/>
      <c r="G16" s="178"/>
      <c r="H16" s="178"/>
      <c r="I16" s="167"/>
      <c r="J16" s="167"/>
      <c r="K16" s="167"/>
      <c r="L16" s="75"/>
      <c r="M16" s="188"/>
      <c r="N16" s="188"/>
    </row>
    <row r="17" spans="1:14" ht="15" hidden="1" customHeight="1">
      <c r="B17" s="47"/>
      <c r="C17" s="48"/>
      <c r="D17" s="526"/>
      <c r="E17" s="179" t="s">
        <v>596</v>
      </c>
      <c r="F17" s="95">
        <f>SUM(F18,F19)</f>
        <v>0</v>
      </c>
      <c r="G17" s="95">
        <f>SUM(G18,G19)</f>
        <v>0</v>
      </c>
      <c r="H17" s="95">
        <f>SUM(H18,H19)</f>
        <v>0</v>
      </c>
      <c r="I17" s="180">
        <f>SUM(I18,I19)</f>
        <v>0</v>
      </c>
      <c r="J17" s="180">
        <f>SUM(J18,J19)</f>
        <v>0</v>
      </c>
      <c r="K17" s="307" t="s">
        <v>327</v>
      </c>
      <c r="L17" s="275" t="str">
        <f>IF(ISERROR((+J17-F17)/F17),"-",(+J17-F17)/F17)</f>
        <v>-</v>
      </c>
      <c r="M17" s="546" t="str">
        <f>IF(SUM(M18,M19)=0,"",SUM(M18,M19))</f>
        <v/>
      </c>
      <c r="N17" s="547" t="str">
        <f>IF(SUM(N18,N19)=0,"",SUM(N18,N19))</f>
        <v/>
      </c>
    </row>
    <row r="18" spans="1:14" ht="15" hidden="1" customHeight="1">
      <c r="B18" s="44">
        <v>27</v>
      </c>
      <c r="C18" s="48" t="str">
        <f>TEXT($B$1,"00")&amp;"."&amp;TEXT($B18,"000")&amp;"."&amp;TEXT('Campus Selector'!$G$6,"00")</f>
        <v>02.027.25</v>
      </c>
      <c r="D18" s="526"/>
      <c r="E18" s="92" t="s">
        <v>286</v>
      </c>
      <c r="F18" s="135" t="s">
        <v>708</v>
      </c>
      <c r="G18" s="135" t="s">
        <v>708</v>
      </c>
      <c r="H18" s="135" t="s">
        <v>708</v>
      </c>
      <c r="I18" s="135" t="s">
        <v>708</v>
      </c>
      <c r="J18" s="135" t="s">
        <v>708</v>
      </c>
      <c r="K18" s="396" t="s">
        <v>327</v>
      </c>
      <c r="L18" s="77" t="str">
        <f>IF(ISERROR((+J18-F18)/F18),"-",(+J18-F18)/F18)</f>
        <v>-</v>
      </c>
      <c r="M18" s="260"/>
      <c r="N18" s="261"/>
    </row>
    <row r="19" spans="1:14" ht="15" hidden="1" customHeight="1">
      <c r="B19" s="44">
        <v>28</v>
      </c>
      <c r="C19" s="48" t="str">
        <f>TEXT($B$1,"00")&amp;"."&amp;TEXT($B19,"000")&amp;"."&amp;TEXT('Campus Selector'!$G$6,"00")</f>
        <v>02.028.25</v>
      </c>
      <c r="D19" s="526"/>
      <c r="E19" s="92" t="s">
        <v>293</v>
      </c>
      <c r="F19" s="135" t="s">
        <v>708</v>
      </c>
      <c r="G19" s="135" t="s">
        <v>708</v>
      </c>
      <c r="H19" s="135" t="s">
        <v>708</v>
      </c>
      <c r="I19" s="166" t="s">
        <v>708</v>
      </c>
      <c r="J19" s="166" t="s">
        <v>708</v>
      </c>
      <c r="K19" s="397" t="s">
        <v>327</v>
      </c>
      <c r="L19" s="72" t="str">
        <f>IF(ISERROR((+J19-F19)/F19),"-",(+J19-F19)/F19)</f>
        <v>-</v>
      </c>
      <c r="M19" s="260"/>
      <c r="N19" s="261"/>
    </row>
    <row r="20" spans="1:14" ht="6" hidden="1" customHeight="1">
      <c r="C20" s="48"/>
      <c r="D20" s="526"/>
      <c r="E20" s="133"/>
      <c r="F20" s="178"/>
      <c r="G20" s="178"/>
      <c r="H20" s="178"/>
      <c r="I20" s="167"/>
      <c r="J20" s="167"/>
      <c r="K20" s="167"/>
      <c r="L20" s="75"/>
      <c r="M20" s="188"/>
      <c r="N20" s="188"/>
    </row>
    <row r="21" spans="1:14" s="290" customFormat="1" ht="15" hidden="1" customHeight="1">
      <c r="A21" s="159"/>
      <c r="B21" s="160"/>
      <c r="C21" s="286"/>
      <c r="D21" s="526"/>
      <c r="E21" s="302" t="s">
        <v>594</v>
      </c>
      <c r="F21" s="275" t="str">
        <f>IF(ISERROR(+(F11-F18)/(F10-F17)),"-",+(F11-F18)/(F10-F17))</f>
        <v>-</v>
      </c>
      <c r="G21" s="275" t="str">
        <f>IF(ISERROR(+(G11-G18)/(G10-G17)),"-",+(G11-G18)/(G10-G17))</f>
        <v>-</v>
      </c>
      <c r="H21" s="275" t="str">
        <f>IF(ISERROR(+(H11-H18)/(H10-H17)),"-",+(H11-H18)/(H10-H17))</f>
        <v>-</v>
      </c>
      <c r="I21" s="275" t="str">
        <f>IF(ISERROR(+(I11-I18)/(I10-I17)),"-",+(I11-I18)/(I10-I17))</f>
        <v>-</v>
      </c>
      <c r="J21" s="275" t="str">
        <f>IF(ISERROR(+(J11-J18)/(J10-J17)),"-",+(J11-J18)/(J10-J17))</f>
        <v>-</v>
      </c>
      <c r="K21" s="292" t="s">
        <v>327</v>
      </c>
      <c r="L21" s="424" t="s">
        <v>327</v>
      </c>
      <c r="M21" s="275" t="str">
        <f>IF(ISERROR(+M18/M17),"",+M18/M17)</f>
        <v/>
      </c>
      <c r="N21" s="303" t="str">
        <f>IF(ISERROR(+N18/N17),"",+N18/N17)</f>
        <v/>
      </c>
    </row>
    <row r="22" spans="1:14" ht="6" hidden="1" customHeight="1">
      <c r="C22" s="48"/>
      <c r="D22" s="526"/>
      <c r="E22" s="133"/>
      <c r="F22" s="178"/>
      <c r="G22" s="178"/>
      <c r="H22" s="178"/>
      <c r="I22" s="167"/>
      <c r="J22" s="167"/>
      <c r="K22" s="167"/>
      <c r="L22" s="75"/>
      <c r="M22" s="188"/>
      <c r="N22" s="188"/>
    </row>
    <row r="23" spans="1:14" ht="15" customHeight="1">
      <c r="C23" s="48"/>
      <c r="D23" s="526"/>
      <c r="E23" s="831" t="s">
        <v>344</v>
      </c>
      <c r="F23" s="832"/>
      <c r="G23" s="832"/>
      <c r="H23" s="832"/>
      <c r="I23" s="832"/>
      <c r="J23" s="832"/>
      <c r="K23" s="832"/>
      <c r="L23" s="832"/>
      <c r="M23" s="832"/>
      <c r="N23" s="833"/>
    </row>
    <row r="24" spans="1:14" ht="15" customHeight="1">
      <c r="B24" s="47">
        <v>24</v>
      </c>
      <c r="C24" s="48" t="str">
        <f>TEXT($B$1,"00")&amp;"."&amp;TEXT($B24,"000")&amp;"."&amp;TEXT('Campus Selector'!$G$6,"00")</f>
        <v>02.024.25</v>
      </c>
      <c r="D24" s="526"/>
      <c r="E24" s="205" t="s">
        <v>394</v>
      </c>
      <c r="F24" s="97">
        <v>140.33333333333334</v>
      </c>
      <c r="G24" s="97">
        <v>149</v>
      </c>
      <c r="H24" s="97">
        <v>146</v>
      </c>
      <c r="I24" s="200">
        <v>155.33333333333334</v>
      </c>
      <c r="J24" s="200">
        <v>163.33333333333334</v>
      </c>
      <c r="K24" s="677" t="s">
        <v>327</v>
      </c>
      <c r="L24" s="275">
        <f>(+J24-F24)/F24</f>
        <v>0.16389548693586697</v>
      </c>
      <c r="M24" s="304">
        <f>IF(M11=0,"",M11+(0.333333*M12))</f>
        <v>162.66663399999999</v>
      </c>
      <c r="N24" s="305">
        <f>IF(N11=0,"",N11+(0.333333*N12))</f>
        <v>168.33330000000001</v>
      </c>
    </row>
    <row r="25" spans="1:14" ht="15" customHeight="1">
      <c r="B25" s="47">
        <v>25</v>
      </c>
      <c r="C25" s="48" t="str">
        <f>TEXT($B$1,"00")&amp;"."&amp;TEXT($B25,"000")&amp;"."&amp;TEXT('Campus Selector'!$G$6,"00")</f>
        <v>02.025.25</v>
      </c>
      <c r="D25" s="526"/>
      <c r="E25" s="92" t="s">
        <v>668</v>
      </c>
      <c r="F25" s="79">
        <v>2782</v>
      </c>
      <c r="G25" s="79">
        <v>2973.666666666667</v>
      </c>
      <c r="H25" s="79">
        <v>3162.1333333333337</v>
      </c>
      <c r="I25" s="79">
        <v>3278.7999999999997</v>
      </c>
      <c r="J25" s="79">
        <v>3106.4</v>
      </c>
      <c r="K25" s="678" t="s">
        <v>327</v>
      </c>
      <c r="L25" s="77">
        <f>(+J25-F25)/F25</f>
        <v>0.11660675772825309</v>
      </c>
      <c r="M25" s="562">
        <v>3120</v>
      </c>
      <c r="N25" s="300">
        <v>3268</v>
      </c>
    </row>
    <row r="26" spans="1:14" ht="6" customHeight="1">
      <c r="C26" s="48"/>
      <c r="D26" s="526"/>
      <c r="E26" s="176"/>
      <c r="F26" s="176"/>
      <c r="G26" s="176"/>
      <c r="H26" s="176"/>
      <c r="I26" s="176"/>
      <c r="J26" s="176"/>
      <c r="K26" s="176"/>
      <c r="L26" s="176"/>
      <c r="M26" s="176"/>
      <c r="N26" s="176"/>
    </row>
    <row r="27" spans="1:14" s="290" customFormat="1" ht="15" customHeight="1">
      <c r="A27" s="159"/>
      <c r="B27" s="160"/>
      <c r="C27" s="286"/>
      <c r="D27" s="526"/>
      <c r="E27" s="179" t="s">
        <v>346</v>
      </c>
      <c r="F27" s="297">
        <f>+F25/F24</f>
        <v>19.824228028503562</v>
      </c>
      <c r="G27" s="297">
        <f>+G25/G24</f>
        <v>19.95749440715884</v>
      </c>
      <c r="H27" s="297">
        <f>+H25/H24</f>
        <v>21.658447488584478</v>
      </c>
      <c r="I27" s="297">
        <f>+I25/I24</f>
        <v>21.108154506437764</v>
      </c>
      <c r="J27" s="297">
        <f>+J25/J24</f>
        <v>19.01877551020408</v>
      </c>
      <c r="K27" s="398" t="s">
        <v>327</v>
      </c>
      <c r="L27" s="275">
        <f>(+J27-F27)/F27</f>
        <v>-4.0629704074296918E-2</v>
      </c>
      <c r="M27" s="709">
        <f>IF(ISERROR(M25/M24),"",M25/M24)</f>
        <v>19.180331720640389</v>
      </c>
      <c r="N27" s="709">
        <f>IF(ISERROR(N25/N24),"",N25/N24)</f>
        <v>19.41386523046836</v>
      </c>
    </row>
    <row r="28" spans="1:14" ht="15" customHeight="1">
      <c r="B28" s="44">
        <v>424</v>
      </c>
      <c r="C28" s="48" t="str">
        <f>TEXT($B$1,"00")&amp;"."&amp;TEXT($B28,"000")&amp;"."&amp;TEXT('Campus Selector'!$J$9,"00")</f>
        <v>02.424.90</v>
      </c>
      <c r="D28" s="526"/>
      <c r="E28" s="243" t="s">
        <v>347</v>
      </c>
      <c r="F28" s="257">
        <v>18.661763236763235</v>
      </c>
      <c r="G28" s="257">
        <v>19.102180997743794</v>
      </c>
      <c r="H28" s="257">
        <v>18.625636903289635</v>
      </c>
      <c r="I28" s="257">
        <v>18.343778746066327</v>
      </c>
      <c r="J28" s="257">
        <v>18.016251761390325</v>
      </c>
      <c r="K28" s="323" t="s">
        <v>327</v>
      </c>
      <c r="L28" s="256">
        <f>IF(ISERROR((+J28-F28)/F28),"-",(+J28-F28)/F28)</f>
        <v>-3.4590058140983558E-2</v>
      </c>
      <c r="M28" s="425" t="s">
        <v>327</v>
      </c>
      <c r="N28" s="255" t="s">
        <v>327</v>
      </c>
    </row>
    <row r="29" spans="1:14" ht="6" customHeight="1">
      <c r="C29" s="48"/>
      <c r="D29" s="526"/>
      <c r="E29" s="133"/>
      <c r="F29" s="178"/>
      <c r="G29" s="178"/>
      <c r="H29" s="178"/>
      <c r="I29" s="167"/>
      <c r="J29" s="167"/>
      <c r="K29" s="167"/>
      <c r="L29" s="75"/>
      <c r="M29" s="188"/>
      <c r="N29" s="188"/>
    </row>
    <row r="30" spans="1:14" ht="15" hidden="1" customHeight="1">
      <c r="C30" s="48"/>
      <c r="D30" s="526"/>
      <c r="E30" s="831" t="s">
        <v>595</v>
      </c>
      <c r="F30" s="832"/>
      <c r="G30" s="832"/>
      <c r="H30" s="832"/>
      <c r="I30" s="832"/>
      <c r="J30" s="832"/>
      <c r="K30" s="832"/>
      <c r="L30" s="832"/>
      <c r="M30" s="832"/>
      <c r="N30" s="833"/>
    </row>
    <row r="31" spans="1:14" ht="15" hidden="1" customHeight="1">
      <c r="B31" s="47">
        <v>24</v>
      </c>
      <c r="C31" s="48" t="str">
        <f>TEXT($B$1,"00")&amp;"."&amp;TEXT($B31,"000")&amp;"."&amp;TEXT('Campus Selector'!$G$6,"00")</f>
        <v>02.024.25</v>
      </c>
      <c r="D31" s="526"/>
      <c r="E31" s="205" t="s">
        <v>394</v>
      </c>
      <c r="F31" s="97" t="str">
        <f>IF(ISERROR((F11-F18)+((F12-F19)*0.33)),"-",(F11-F18)+((F12-F19)*0.33))</f>
        <v>-</v>
      </c>
      <c r="G31" s="97" t="str">
        <f>IF(ISERROR((G11-G18)+((G12-G19)*0.33)),"-",(G11-G18)+((G12-G19)*0.33))</f>
        <v>-</v>
      </c>
      <c r="H31" s="97" t="str">
        <f>IF(ISERROR((H11-H18)+((H12-H19)*0.33)),"-",(H11-H18)+((H12-H19)*0.33))</f>
        <v>-</v>
      </c>
      <c r="I31" s="200" t="str">
        <f>IF(ISERROR((I11-I18)+((I12-I19)*0.33)),"-",(I11-I18)+((I12-I19)*0.33))</f>
        <v>-</v>
      </c>
      <c r="J31" s="200" t="str">
        <f>IF(ISERROR((J11-J18)+((J12-J19)*0.33)),"-",(J11-J18)+((J12-J19)*0.33))</f>
        <v>-</v>
      </c>
      <c r="K31" s="677" t="s">
        <v>327</v>
      </c>
      <c r="L31" s="275" t="str">
        <f>IF(ISERROR((+J31-F31)/F31),"-",(+J31-F31)/F31)</f>
        <v>-</v>
      </c>
      <c r="M31" s="304" t="str">
        <f>IF(M18=0,"",(M11-M18)+((M12-M19)*0.33))</f>
        <v/>
      </c>
      <c r="N31" s="304" t="str">
        <f>IF(N18=0,"",(N11-N18)+((N12-N19)*0.33))</f>
        <v/>
      </c>
    </row>
    <row r="32" spans="1:14" ht="15" hidden="1" customHeight="1">
      <c r="B32" s="47">
        <v>25</v>
      </c>
      <c r="C32" s="48" t="str">
        <f>TEXT($B$1,"00")&amp;"."&amp;TEXT($B32,"000")&amp;"."&amp;TEXT('Campus Selector'!$G$6,"00")</f>
        <v>02.025.25</v>
      </c>
      <c r="D32" s="526"/>
      <c r="E32" s="92" t="s">
        <v>668</v>
      </c>
      <c r="F32" s="79">
        <v>2782</v>
      </c>
      <c r="G32" s="79">
        <v>2973.666666666667</v>
      </c>
      <c r="H32" s="79">
        <v>3162.1333333333337</v>
      </c>
      <c r="I32" s="79">
        <v>3278.7999999999997</v>
      </c>
      <c r="J32" s="79">
        <v>3106.4</v>
      </c>
      <c r="K32" s="678" t="s">
        <v>327</v>
      </c>
      <c r="L32" s="77">
        <f>(+J32-F32)/F32</f>
        <v>0.11660675772825309</v>
      </c>
      <c r="M32" s="562"/>
      <c r="N32" s="300"/>
    </row>
    <row r="33" spans="1:14" ht="6" hidden="1" customHeight="1">
      <c r="C33" s="48"/>
      <c r="D33" s="526"/>
      <c r="E33" s="176"/>
      <c r="F33" s="176"/>
      <c r="G33" s="176"/>
      <c r="H33" s="176"/>
      <c r="I33" s="176"/>
      <c r="J33" s="176"/>
      <c r="K33" s="176"/>
      <c r="L33" s="176"/>
      <c r="M33" s="176"/>
      <c r="N33" s="176"/>
    </row>
    <row r="34" spans="1:14" s="290" customFormat="1" ht="15" hidden="1" customHeight="1">
      <c r="A34" s="159"/>
      <c r="B34" s="160"/>
      <c r="C34" s="286"/>
      <c r="D34" s="526"/>
      <c r="E34" s="179" t="s">
        <v>346</v>
      </c>
      <c r="F34" s="297" t="str">
        <f>IF(ISERROR(+F32/F31),"-",+F32/F31)</f>
        <v>-</v>
      </c>
      <c r="G34" s="297" t="str">
        <f>IF(ISERROR(+G32/G31),"-",+G32/G31)</f>
        <v>-</v>
      </c>
      <c r="H34" s="297" t="str">
        <f>IF(ISERROR(+H32/H31),"-",+H32/H31)</f>
        <v>-</v>
      </c>
      <c r="I34" s="297" t="str">
        <f>IF(ISERROR(+I32/I31),"-",+I32/I31)</f>
        <v>-</v>
      </c>
      <c r="J34" s="297" t="str">
        <f>IF(ISERROR(+J32/J31),"-",+J32/J31)</f>
        <v>-</v>
      </c>
      <c r="K34" s="398" t="s">
        <v>327</v>
      </c>
      <c r="L34" s="275" t="str">
        <f>IF(ISERROR((+J34-F34)/F34),"-",(+J34-F34)/F34)</f>
        <v>-</v>
      </c>
      <c r="M34" s="517" t="str">
        <f>IF(ISERROR(M32/M31),"",M32/M31)</f>
        <v/>
      </c>
      <c r="N34" s="298" t="str">
        <f>IF(ISERROR(N32/N31),"",N32/N31)</f>
        <v/>
      </c>
    </row>
    <row r="35" spans="1:14" ht="6.95" hidden="1" customHeight="1">
      <c r="C35" s="48"/>
      <c r="D35" s="526"/>
      <c r="E35" s="137"/>
      <c r="F35" s="269"/>
      <c r="G35" s="269"/>
      <c r="H35" s="269"/>
      <c r="I35" s="269"/>
      <c r="J35" s="269"/>
      <c r="K35" s="126"/>
      <c r="L35" s="126"/>
      <c r="M35" s="118"/>
      <c r="N35" s="118"/>
    </row>
    <row r="36" spans="1:14" ht="15" customHeight="1">
      <c r="C36" s="48"/>
      <c r="D36" s="526"/>
      <c r="E36" s="831" t="s">
        <v>390</v>
      </c>
      <c r="F36" s="832"/>
      <c r="G36" s="832"/>
      <c r="H36" s="832"/>
      <c r="I36" s="832"/>
      <c r="J36" s="832"/>
      <c r="K36" s="832"/>
      <c r="L36" s="832"/>
      <c r="M36" s="832"/>
      <c r="N36" s="833"/>
    </row>
    <row r="37" spans="1:14" ht="15" customHeight="1">
      <c r="C37" s="48"/>
      <c r="D37" s="526"/>
      <c r="E37" s="179" t="s">
        <v>349</v>
      </c>
      <c r="F37" s="95">
        <f>SUM(F38,F40:F44,F46,F47)</f>
        <v>113</v>
      </c>
      <c r="G37" s="187" t="s">
        <v>327</v>
      </c>
      <c r="H37" s="95">
        <f>SUM(H38,H40:H44,H46,H47)</f>
        <v>116</v>
      </c>
      <c r="I37" s="180" t="s">
        <v>327</v>
      </c>
      <c r="J37" s="180">
        <f>SUM(J38,J40:J44,J46,J47)</f>
        <v>131</v>
      </c>
      <c r="K37" s="184" t="s">
        <v>327</v>
      </c>
      <c r="L37" s="275">
        <f t="shared" ref="L37:L38" si="1">(+J37-F37)/F37</f>
        <v>0.15929203539823009</v>
      </c>
      <c r="M37" s="837" t="s">
        <v>714</v>
      </c>
      <c r="N37" s="838"/>
    </row>
    <row r="38" spans="1:14" ht="15" customHeight="1">
      <c r="B38" s="44">
        <v>26</v>
      </c>
      <c r="C38" s="48" t="str">
        <f>TEXT($B$1,"00")&amp;"."&amp;TEXT($B38,"000")&amp;"."&amp;TEXT('Campus Selector'!$G$6,"00")</f>
        <v>02.026.25</v>
      </c>
      <c r="D38" s="526"/>
      <c r="E38" s="92" t="s">
        <v>11</v>
      </c>
      <c r="F38" s="79">
        <v>93</v>
      </c>
      <c r="G38" s="79" t="s">
        <v>327</v>
      </c>
      <c r="H38" s="79">
        <v>95</v>
      </c>
      <c r="I38" s="108" t="s">
        <v>327</v>
      </c>
      <c r="J38" s="108">
        <v>111</v>
      </c>
      <c r="K38" s="171" t="s">
        <v>327</v>
      </c>
      <c r="L38" s="77">
        <f t="shared" si="1"/>
        <v>0.19354838709677419</v>
      </c>
      <c r="M38" s="839"/>
      <c r="N38" s="840"/>
    </row>
    <row r="39" spans="1:14" ht="15" customHeight="1">
      <c r="C39" s="48"/>
      <c r="D39" s="526"/>
      <c r="E39" s="153" t="s">
        <v>12</v>
      </c>
      <c r="F39" s="172">
        <f>SUM(F40:F44)</f>
        <v>8</v>
      </c>
      <c r="G39" s="172" t="s">
        <v>327</v>
      </c>
      <c r="H39" s="172">
        <f>SUM(H40:H44)</f>
        <v>8</v>
      </c>
      <c r="I39" s="136" t="s">
        <v>327</v>
      </c>
      <c r="J39" s="136">
        <f>SUM(J40:J44)</f>
        <v>16</v>
      </c>
      <c r="K39" s="173" t="s">
        <v>327</v>
      </c>
      <c r="L39" s="152">
        <f t="shared" ref="L39:L47" si="2">IF(ISERROR((+J39-F39)/F39),"-",(+J39-F39)/F39)</f>
        <v>1</v>
      </c>
      <c r="M39" s="839"/>
      <c r="N39" s="840"/>
    </row>
    <row r="40" spans="1:14" ht="15" customHeight="1">
      <c r="B40" s="44">
        <v>29</v>
      </c>
      <c r="C40" s="48" t="str">
        <f>TEXT($B$1,"00")&amp;"."&amp;TEXT($B40,"000")&amp;"."&amp;TEXT('Campus Selector'!$G$6,"00")</f>
        <v>02.029.25</v>
      </c>
      <c r="D40" s="526"/>
      <c r="E40" s="138" t="s">
        <v>56</v>
      </c>
      <c r="F40" s="79">
        <v>2</v>
      </c>
      <c r="G40" s="79" t="s">
        <v>327</v>
      </c>
      <c r="H40" s="79">
        <v>4</v>
      </c>
      <c r="I40" s="108" t="s">
        <v>327</v>
      </c>
      <c r="J40" s="108">
        <v>6</v>
      </c>
      <c r="K40" s="171" t="s">
        <v>327</v>
      </c>
      <c r="L40" s="77">
        <f t="shared" si="2"/>
        <v>2</v>
      </c>
      <c r="M40" s="839"/>
      <c r="N40" s="840"/>
    </row>
    <row r="41" spans="1:14" ht="15" customHeight="1">
      <c r="B41" s="44">
        <v>30</v>
      </c>
      <c r="C41" s="48" t="str">
        <f>TEXT($B$1,"00")&amp;"."&amp;TEXT($B41,"000")&amp;"."&amp;TEXT('Campus Selector'!$G$6,"00")</f>
        <v>02.030.25</v>
      </c>
      <c r="D41" s="526"/>
      <c r="E41" s="138" t="s">
        <v>57</v>
      </c>
      <c r="F41" s="79">
        <v>1</v>
      </c>
      <c r="G41" s="79" t="s">
        <v>327</v>
      </c>
      <c r="H41" s="79">
        <v>1</v>
      </c>
      <c r="I41" s="108" t="s">
        <v>327</v>
      </c>
      <c r="J41" s="108">
        <v>2</v>
      </c>
      <c r="K41" s="171" t="s">
        <v>327</v>
      </c>
      <c r="L41" s="77">
        <f t="shared" si="2"/>
        <v>1</v>
      </c>
      <c r="M41" s="839"/>
      <c r="N41" s="840"/>
    </row>
    <row r="42" spans="1:14" ht="15" customHeight="1">
      <c r="B42" s="44">
        <v>31</v>
      </c>
      <c r="C42" s="48" t="str">
        <f>TEXT($B$1,"00")&amp;"."&amp;TEXT($B42,"000")&amp;"."&amp;TEXT('Campus Selector'!$G$6,"00")</f>
        <v>02.031.25</v>
      </c>
      <c r="D42" s="526"/>
      <c r="E42" s="138" t="s">
        <v>58</v>
      </c>
      <c r="F42" s="79">
        <v>4</v>
      </c>
      <c r="G42" s="79" t="s">
        <v>327</v>
      </c>
      <c r="H42" s="79">
        <v>3</v>
      </c>
      <c r="I42" s="108" t="s">
        <v>327</v>
      </c>
      <c r="J42" s="108">
        <v>8</v>
      </c>
      <c r="K42" s="171" t="s">
        <v>327</v>
      </c>
      <c r="L42" s="77">
        <f t="shared" si="2"/>
        <v>1</v>
      </c>
      <c r="M42" s="839"/>
      <c r="N42" s="840"/>
    </row>
    <row r="43" spans="1:14" ht="15" customHeight="1">
      <c r="B43" s="47">
        <v>32</v>
      </c>
      <c r="C43" s="48" t="str">
        <f>TEXT($B$1,"00")&amp;"."&amp;TEXT($B43,"000")&amp;"."&amp;TEXT('Campus Selector'!$G$6,"00")</f>
        <v>02.032.25</v>
      </c>
      <c r="D43" s="526"/>
      <c r="E43" s="138" t="s">
        <v>59</v>
      </c>
      <c r="F43" s="79">
        <v>1</v>
      </c>
      <c r="G43" s="79" t="s">
        <v>327</v>
      </c>
      <c r="H43" s="79">
        <v>0</v>
      </c>
      <c r="I43" s="108" t="s">
        <v>327</v>
      </c>
      <c r="J43" s="108">
        <v>0</v>
      </c>
      <c r="K43" s="171" t="s">
        <v>327</v>
      </c>
      <c r="L43" s="77">
        <f t="shared" si="2"/>
        <v>-1</v>
      </c>
      <c r="M43" s="839"/>
      <c r="N43" s="840"/>
    </row>
    <row r="44" spans="1:14" ht="15" customHeight="1">
      <c r="B44" s="47">
        <v>33</v>
      </c>
      <c r="C44" s="48" t="str">
        <f>TEXT($B$1,"00")&amp;"."&amp;TEXT($B44,"000")&amp;"."&amp;TEXT('Campus Selector'!$G$6,"00")</f>
        <v>02.033.25</v>
      </c>
      <c r="D44" s="526"/>
      <c r="E44" s="138" t="s">
        <v>60</v>
      </c>
      <c r="F44" s="79">
        <v>0</v>
      </c>
      <c r="G44" s="79" t="s">
        <v>327</v>
      </c>
      <c r="H44" s="79">
        <v>0</v>
      </c>
      <c r="I44" s="108" t="s">
        <v>327</v>
      </c>
      <c r="J44" s="108">
        <v>0</v>
      </c>
      <c r="K44" s="171" t="s">
        <v>327</v>
      </c>
      <c r="L44" s="77" t="str">
        <f t="shared" si="2"/>
        <v>-</v>
      </c>
      <c r="M44" s="839"/>
      <c r="N44" s="840"/>
    </row>
    <row r="45" spans="1:14" ht="15" customHeight="1">
      <c r="B45" s="47"/>
      <c r="C45" s="48"/>
      <c r="D45" s="526"/>
      <c r="E45" s="650" t="s">
        <v>667</v>
      </c>
      <c r="F45" s="172">
        <f>SUM(F40:F41,F43:F44)</f>
        <v>4</v>
      </c>
      <c r="G45" s="172" t="s">
        <v>327</v>
      </c>
      <c r="H45" s="172">
        <f>SUM(H40:H41,H43:H44)</f>
        <v>5</v>
      </c>
      <c r="I45" s="136" t="s">
        <v>327</v>
      </c>
      <c r="J45" s="136">
        <f>SUM(J40:J41,J43:J44)</f>
        <v>8</v>
      </c>
      <c r="K45" s="173" t="s">
        <v>327</v>
      </c>
      <c r="L45" s="152">
        <f t="shared" si="2"/>
        <v>1</v>
      </c>
      <c r="M45" s="839"/>
      <c r="N45" s="840"/>
    </row>
    <row r="46" spans="1:14" ht="15" customHeight="1">
      <c r="B46" s="44">
        <v>34</v>
      </c>
      <c r="C46" s="48" t="str">
        <f>TEXT($B$1,"00")&amp;"."&amp;TEXT($B46,"000")&amp;"."&amp;TEXT('Campus Selector'!$G$6,"00")</f>
        <v>02.034.25</v>
      </c>
      <c r="D46" s="526"/>
      <c r="E46" s="158" t="s">
        <v>13</v>
      </c>
      <c r="F46" s="117">
        <v>12</v>
      </c>
      <c r="G46" s="117" t="s">
        <v>327</v>
      </c>
      <c r="H46" s="117">
        <v>13</v>
      </c>
      <c r="I46" s="168" t="s">
        <v>327</v>
      </c>
      <c r="J46" s="168">
        <v>4</v>
      </c>
      <c r="K46" s="174" t="s">
        <v>327</v>
      </c>
      <c r="L46" s="114">
        <f t="shared" si="2"/>
        <v>-0.66666666666666663</v>
      </c>
      <c r="M46" s="839"/>
      <c r="N46" s="840"/>
    </row>
    <row r="47" spans="1:14" ht="15" customHeight="1">
      <c r="B47" s="44">
        <v>35</v>
      </c>
      <c r="C47" s="48" t="str">
        <f>TEXT($B$1,"00")&amp;"."&amp;TEXT($B47,"000")&amp;"."&amp;TEXT('Campus Selector'!$G$6,"00")</f>
        <v>02.035.25</v>
      </c>
      <c r="D47" s="526"/>
      <c r="E47" s="92" t="s">
        <v>14</v>
      </c>
      <c r="F47" s="79">
        <v>0</v>
      </c>
      <c r="G47" s="79" t="s">
        <v>327</v>
      </c>
      <c r="H47" s="79">
        <v>0</v>
      </c>
      <c r="I47" s="108" t="s">
        <v>327</v>
      </c>
      <c r="J47" s="108">
        <v>0</v>
      </c>
      <c r="K47" s="171" t="s">
        <v>327</v>
      </c>
      <c r="L47" s="77" t="str">
        <f t="shared" si="2"/>
        <v>-</v>
      </c>
      <c r="M47" s="839"/>
      <c r="N47" s="840"/>
    </row>
    <row r="48" spans="1:14" ht="6" customHeight="1">
      <c r="C48" s="48"/>
      <c r="D48" s="526"/>
      <c r="E48" s="104"/>
      <c r="F48" s="167"/>
      <c r="G48" s="167"/>
      <c r="H48" s="167"/>
      <c r="I48" s="167"/>
      <c r="J48" s="167"/>
      <c r="K48" s="167"/>
      <c r="L48" s="167"/>
      <c r="M48" s="839"/>
      <c r="N48" s="840"/>
    </row>
    <row r="49" spans="1:14" s="290" customFormat="1" ht="15" customHeight="1">
      <c r="A49" s="159"/>
      <c r="B49" s="160"/>
      <c r="C49" s="286"/>
      <c r="D49" s="526"/>
      <c r="E49" s="179" t="s">
        <v>380</v>
      </c>
      <c r="F49" s="295">
        <f>+F39/F$37</f>
        <v>7.0796460176991149E-2</v>
      </c>
      <c r="G49" s="295" t="s">
        <v>327</v>
      </c>
      <c r="H49" s="295">
        <f>+H39/H$37</f>
        <v>6.8965517241379309E-2</v>
      </c>
      <c r="I49" s="296" t="s">
        <v>327</v>
      </c>
      <c r="J49" s="296">
        <f>+J39/J$37</f>
        <v>0.12213740458015267</v>
      </c>
      <c r="K49" s="296" t="s">
        <v>327</v>
      </c>
      <c r="L49" s="275">
        <f>(+J49-F49)/F49</f>
        <v>0.72519083969465647</v>
      </c>
      <c r="M49" s="839"/>
      <c r="N49" s="840"/>
    </row>
    <row r="50" spans="1:14" ht="15" customHeight="1">
      <c r="B50" s="44">
        <v>405</v>
      </c>
      <c r="C50" s="48" t="str">
        <f>TEXT($B$1,"00")&amp;"."&amp;TEXT($B50,"000")&amp;"."&amp;TEXT('Campus Selector'!$J$9,"00")</f>
        <v>02.405.90</v>
      </c>
      <c r="D50" s="526"/>
      <c r="E50" s="243" t="s">
        <v>381</v>
      </c>
      <c r="F50" s="254">
        <v>0.10521140609636184</v>
      </c>
      <c r="G50" s="254" t="s">
        <v>327</v>
      </c>
      <c r="H50" s="254">
        <v>0.10368217054263566</v>
      </c>
      <c r="I50" s="254" t="s">
        <v>327</v>
      </c>
      <c r="J50" s="254">
        <v>0.12275731822474033</v>
      </c>
      <c r="K50" s="254" t="s">
        <v>327</v>
      </c>
      <c r="L50" s="248">
        <f>(+J50-F50)/F50</f>
        <v>0.16676815546318619</v>
      </c>
      <c r="M50" s="839"/>
      <c r="N50" s="840"/>
    </row>
    <row r="51" spans="1:14" ht="6" customHeight="1">
      <c r="C51" s="48"/>
      <c r="D51" s="526"/>
      <c r="E51" s="133"/>
      <c r="F51" s="167"/>
      <c r="G51" s="167"/>
      <c r="H51" s="167"/>
      <c r="I51" s="167"/>
      <c r="J51" s="167"/>
      <c r="K51" s="167"/>
      <c r="L51" s="167"/>
      <c r="M51" s="839"/>
      <c r="N51" s="840"/>
    </row>
    <row r="52" spans="1:14" s="290" customFormat="1" ht="15" customHeight="1">
      <c r="A52" s="159"/>
      <c r="B52" s="160"/>
      <c r="C52" s="286"/>
      <c r="D52" s="526"/>
      <c r="E52" s="179" t="s">
        <v>382</v>
      </c>
      <c r="F52" s="295">
        <f>+F45/F$37</f>
        <v>3.5398230088495575E-2</v>
      </c>
      <c r="G52" s="295" t="s">
        <v>327</v>
      </c>
      <c r="H52" s="295">
        <f>+H45/H$37</f>
        <v>4.3103448275862072E-2</v>
      </c>
      <c r="I52" s="296" t="s">
        <v>327</v>
      </c>
      <c r="J52" s="296">
        <f>+J45/J$37</f>
        <v>6.1068702290076333E-2</v>
      </c>
      <c r="K52" s="296" t="s">
        <v>327</v>
      </c>
      <c r="L52" s="275">
        <f>IF(ISERROR((+J52-F52)/F52),"-",(+J52-F52)/F52)</f>
        <v>0.72519083969465647</v>
      </c>
      <c r="M52" s="839"/>
      <c r="N52" s="840"/>
    </row>
    <row r="53" spans="1:14" ht="15" customHeight="1">
      <c r="B53" s="44">
        <v>404</v>
      </c>
      <c r="C53" s="48" t="str">
        <f>TEXT($B$1,"00")&amp;"."&amp;TEXT($B53,"000")&amp;"."&amp;TEXT('Campus Selector'!$J$9,"00")</f>
        <v>02.404.90</v>
      </c>
      <c r="D53" s="526"/>
      <c r="E53" s="249" t="s">
        <v>383</v>
      </c>
      <c r="F53" s="254">
        <v>5.7030481809242868E-2</v>
      </c>
      <c r="G53" s="254" t="s">
        <v>327</v>
      </c>
      <c r="H53" s="254">
        <v>5.4263565891472867E-2</v>
      </c>
      <c r="I53" s="254" t="s">
        <v>327</v>
      </c>
      <c r="J53" s="254">
        <v>5.8545797922568463E-2</v>
      </c>
      <c r="K53" s="254" t="s">
        <v>327</v>
      </c>
      <c r="L53" s="248">
        <f>(+J53-F53)/F53</f>
        <v>2.6570284262967755E-2</v>
      </c>
      <c r="M53" s="841"/>
      <c r="N53" s="842"/>
    </row>
    <row r="54" spans="1:14" ht="6.95" customHeight="1">
      <c r="C54" s="48"/>
      <c r="D54" s="526"/>
      <c r="E54" s="104"/>
      <c r="F54" s="167"/>
      <c r="G54" s="167"/>
      <c r="H54" s="167"/>
      <c r="I54" s="167"/>
      <c r="J54" s="167"/>
      <c r="K54" s="167"/>
      <c r="L54" s="167"/>
      <c r="M54" s="175"/>
      <c r="N54" s="175"/>
    </row>
    <row r="55" spans="1:14" ht="15" customHeight="1">
      <c r="C55" s="48"/>
      <c r="D55" s="526"/>
      <c r="E55" s="831" t="s">
        <v>391</v>
      </c>
      <c r="F55" s="832"/>
      <c r="G55" s="832"/>
      <c r="H55" s="832"/>
      <c r="I55" s="832"/>
      <c r="J55" s="832"/>
      <c r="K55" s="832"/>
      <c r="L55" s="832"/>
      <c r="M55" s="832"/>
      <c r="N55" s="833"/>
    </row>
    <row r="56" spans="1:14" ht="15" customHeight="1">
      <c r="C56" s="48"/>
      <c r="D56" s="526"/>
      <c r="E56" s="179" t="s">
        <v>349</v>
      </c>
      <c r="F56" s="95">
        <f>F57+F58</f>
        <v>113</v>
      </c>
      <c r="G56" s="95" t="s">
        <v>327</v>
      </c>
      <c r="H56" s="95">
        <f>H57+H58</f>
        <v>116</v>
      </c>
      <c r="I56" s="180" t="s">
        <v>327</v>
      </c>
      <c r="J56" s="95">
        <f>J57+J58</f>
        <v>131</v>
      </c>
      <c r="K56" s="184" t="s">
        <v>327</v>
      </c>
      <c r="L56" s="275">
        <f>(+J56-F56)/F56</f>
        <v>0.15929203539823009</v>
      </c>
      <c r="M56" s="546">
        <f>IF(SUM(M57,M58)=0,"",SUM(M57,M58))</f>
        <v>130</v>
      </c>
      <c r="N56" s="547">
        <f>IF(SUM(N57,N58)=0,"",SUM(N57,N58))</f>
        <v>135</v>
      </c>
    </row>
    <row r="57" spans="1:14" ht="15.75" customHeight="1">
      <c r="A57" s="32" t="s">
        <v>37</v>
      </c>
      <c r="B57" s="44">
        <v>36</v>
      </c>
      <c r="C57" s="48" t="str">
        <f>TEXT($B$1,"00")&amp;"."&amp;TEXT($B57,"000")&amp;"."&amp;TEXT('Campus Selector'!$G$6,"00")</f>
        <v>02.036.25</v>
      </c>
      <c r="D57" s="526"/>
      <c r="E57" s="158" t="s">
        <v>61</v>
      </c>
      <c r="F57" s="117">
        <v>68</v>
      </c>
      <c r="G57" s="117" t="s">
        <v>327</v>
      </c>
      <c r="H57" s="117">
        <v>62</v>
      </c>
      <c r="I57" s="168" t="s">
        <v>327</v>
      </c>
      <c r="J57" s="168">
        <v>74</v>
      </c>
      <c r="K57" s="174" t="s">
        <v>327</v>
      </c>
      <c r="L57" s="114">
        <f>(+J57-F57)/F57</f>
        <v>8.8235294117647065E-2</v>
      </c>
      <c r="M57" s="743">
        <v>70</v>
      </c>
      <c r="N57" s="744">
        <v>72</v>
      </c>
    </row>
    <row r="58" spans="1:14" ht="15" customHeight="1">
      <c r="B58" s="47">
        <v>37</v>
      </c>
      <c r="C58" s="48" t="str">
        <f>TEXT($B$1,"00")&amp;"."&amp;TEXT($B58,"000")&amp;"."&amp;TEXT('Campus Selector'!$G$6,"00")</f>
        <v>02.037.25</v>
      </c>
      <c r="D58" s="526"/>
      <c r="E58" s="92" t="s">
        <v>62</v>
      </c>
      <c r="F58" s="79">
        <v>45</v>
      </c>
      <c r="G58" s="79" t="s">
        <v>327</v>
      </c>
      <c r="H58" s="79">
        <v>54</v>
      </c>
      <c r="I58" s="108" t="s">
        <v>327</v>
      </c>
      <c r="J58" s="108">
        <v>57</v>
      </c>
      <c r="K58" s="171" t="s">
        <v>327</v>
      </c>
      <c r="L58" s="77">
        <f>(+J58-F58)/F58</f>
        <v>0.26666666666666666</v>
      </c>
      <c r="M58" s="745">
        <v>60</v>
      </c>
      <c r="N58" s="746">
        <v>63</v>
      </c>
    </row>
    <row r="59" spans="1:14" ht="6" customHeight="1">
      <c r="C59" s="48"/>
      <c r="D59" s="526"/>
      <c r="E59" s="176"/>
      <c r="F59" s="176"/>
      <c r="G59" s="176"/>
      <c r="H59" s="176"/>
      <c r="I59" s="176"/>
      <c r="J59" s="176"/>
      <c r="K59" s="176"/>
      <c r="L59" s="176"/>
      <c r="M59" s="176"/>
      <c r="N59" s="176"/>
    </row>
    <row r="60" spans="1:14" s="290" customFormat="1" ht="15" customHeight="1">
      <c r="A60" s="159"/>
      <c r="B60" s="160"/>
      <c r="C60" s="286"/>
      <c r="D60" s="526"/>
      <c r="E60" s="179" t="s">
        <v>384</v>
      </c>
      <c r="F60" s="293">
        <f>+F57/F$56</f>
        <v>0.60176991150442483</v>
      </c>
      <c r="G60" s="293" t="s">
        <v>327</v>
      </c>
      <c r="H60" s="293">
        <f>+H57/H$56</f>
        <v>0.53448275862068961</v>
      </c>
      <c r="I60" s="294" t="s">
        <v>327</v>
      </c>
      <c r="J60" s="294">
        <f>+J57/J$56</f>
        <v>0.56488549618320616</v>
      </c>
      <c r="K60" s="294" t="s">
        <v>327</v>
      </c>
      <c r="L60" s="666" t="s">
        <v>327</v>
      </c>
      <c r="M60" s="299">
        <f t="shared" ref="M60:N60" si="3">IF(ISERROR(+M57/M$56),"-",+M57/M$56)</f>
        <v>0.53846153846153844</v>
      </c>
      <c r="N60" s="299">
        <f t="shared" si="3"/>
        <v>0.53333333333333333</v>
      </c>
    </row>
    <row r="61" spans="1:14" ht="15" customHeight="1">
      <c r="B61" s="44">
        <v>406</v>
      </c>
      <c r="C61" s="48" t="str">
        <f>TEXT($B$1,"00")&amp;"."&amp;TEXT($B61,"000")&amp;"."&amp;TEXT('Campus Selector'!$J$9,"00")</f>
        <v>02.406.90</v>
      </c>
      <c r="D61" s="526"/>
      <c r="E61" s="243" t="s">
        <v>386</v>
      </c>
      <c r="F61" s="258">
        <v>0.62143559488692235</v>
      </c>
      <c r="G61" s="258" t="s">
        <v>327</v>
      </c>
      <c r="H61" s="258">
        <v>0.60852713178294571</v>
      </c>
      <c r="I61" s="259" t="s">
        <v>327</v>
      </c>
      <c r="J61" s="259">
        <v>0.59962228517469307</v>
      </c>
      <c r="K61" s="259" t="s">
        <v>327</v>
      </c>
      <c r="L61" s="427" t="s">
        <v>327</v>
      </c>
      <c r="M61" s="255" t="s">
        <v>327</v>
      </c>
      <c r="N61" s="255" t="s">
        <v>327</v>
      </c>
    </row>
    <row r="62" spans="1:14" ht="6" customHeight="1">
      <c r="C62" s="48"/>
      <c r="D62" s="526"/>
      <c r="E62" s="133"/>
      <c r="F62" s="192"/>
      <c r="G62" s="192"/>
      <c r="H62" s="192"/>
      <c r="I62" s="193"/>
      <c r="J62" s="193"/>
      <c r="K62" s="193"/>
      <c r="L62" s="103"/>
      <c r="M62" s="193"/>
      <c r="N62" s="193"/>
    </row>
    <row r="63" spans="1:14" s="290" customFormat="1" ht="15" customHeight="1">
      <c r="A63" s="159"/>
      <c r="B63" s="160"/>
      <c r="C63" s="286"/>
      <c r="D63" s="526"/>
      <c r="E63" s="179" t="s">
        <v>385</v>
      </c>
      <c r="F63" s="295">
        <f>+F58/F$37</f>
        <v>0.39823008849557523</v>
      </c>
      <c r="G63" s="295" t="s">
        <v>327</v>
      </c>
      <c r="H63" s="295">
        <f>+H58/H$37</f>
        <v>0.46551724137931033</v>
      </c>
      <c r="I63" s="296" t="s">
        <v>327</v>
      </c>
      <c r="J63" s="296">
        <f>+J58/J$37</f>
        <v>0.4351145038167939</v>
      </c>
      <c r="K63" s="296" t="s">
        <v>327</v>
      </c>
      <c r="L63" s="292" t="s">
        <v>327</v>
      </c>
      <c r="M63" s="288">
        <f>M58/M56</f>
        <v>0.46153846153846156</v>
      </c>
      <c r="N63" s="288">
        <f>N58/N56</f>
        <v>0.46666666666666667</v>
      </c>
    </row>
    <row r="64" spans="1:14" ht="15" customHeight="1">
      <c r="B64" s="44">
        <v>407</v>
      </c>
      <c r="C64" s="48" t="str">
        <f>TEXT($B$1,"00")&amp;"."&amp;TEXT($B64,"000")&amp;"."&amp;TEXT('Campus Selector'!$J$9,"00")</f>
        <v>02.407.90</v>
      </c>
      <c r="D64" s="526"/>
      <c r="E64" s="243" t="s">
        <v>387</v>
      </c>
      <c r="F64" s="258">
        <v>0.37856440511307771</v>
      </c>
      <c r="G64" s="258" t="s">
        <v>327</v>
      </c>
      <c r="H64" s="258">
        <v>0.39147286821705424</v>
      </c>
      <c r="I64" s="259" t="s">
        <v>327</v>
      </c>
      <c r="J64" s="259">
        <v>0.40037771482530687</v>
      </c>
      <c r="K64" s="259" t="s">
        <v>327</v>
      </c>
      <c r="L64" s="427" t="s">
        <v>327</v>
      </c>
      <c r="M64" s="255" t="s">
        <v>327</v>
      </c>
      <c r="N64" s="255" t="s">
        <v>327</v>
      </c>
    </row>
    <row r="65" spans="3:14" ht="6.95" customHeight="1">
      <c r="C65" s="48"/>
      <c r="D65" s="526"/>
      <c r="E65" s="69"/>
      <c r="F65" s="70"/>
      <c r="G65" s="70"/>
      <c r="H65" s="70"/>
      <c r="I65" s="70"/>
      <c r="J65" s="70"/>
      <c r="K65" s="1"/>
      <c r="L65" s="1"/>
    </row>
    <row r="66" spans="3:14" ht="15" customHeight="1">
      <c r="D66" s="526"/>
      <c r="E66" s="821" t="s">
        <v>345</v>
      </c>
      <c r="F66" s="821"/>
      <c r="G66" s="821"/>
      <c r="H66" s="821"/>
      <c r="I66" s="821"/>
      <c r="J66" s="821"/>
      <c r="K66" s="821"/>
      <c r="L66" s="821"/>
      <c r="M66" s="118"/>
      <c r="N66" s="118"/>
    </row>
    <row r="67" spans="3:14" ht="16.5" customHeight="1">
      <c r="D67" s="526"/>
      <c r="E67" s="827" t="s">
        <v>506</v>
      </c>
      <c r="F67" s="827"/>
      <c r="G67" s="827"/>
      <c r="H67" s="827"/>
      <c r="I67" s="827"/>
      <c r="J67" s="827"/>
      <c r="K67" s="827"/>
      <c r="L67" s="827"/>
      <c r="M67" s="118"/>
      <c r="N67" s="118"/>
    </row>
  </sheetData>
  <mergeCells count="11">
    <mergeCell ref="R5:V5"/>
    <mergeCell ref="E5:N5"/>
    <mergeCell ref="E6:N6"/>
    <mergeCell ref="E9:N9"/>
    <mergeCell ref="E36:N36"/>
    <mergeCell ref="E67:L67"/>
    <mergeCell ref="E23:N23"/>
    <mergeCell ref="E55:N55"/>
    <mergeCell ref="E66:L66"/>
    <mergeCell ref="E30:N30"/>
    <mergeCell ref="M37:N53"/>
  </mergeCells>
  <phoneticPr fontId="5" type="noConversion"/>
  <printOptions horizontalCentered="1"/>
  <pageMargins left="0.2" right="0.2" top="0.5" bottom="0.5" header="0.3" footer="0.3"/>
  <pageSetup scale="75" fitToWidth="0" orientation="landscape" horizontalDpi="300" verticalDpi="300" r:id="rId1"/>
  <headerFooter alignWithMargins="0">
    <oddFooter>&amp;LState University of New York System Administration&amp;R&amp;G</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V58"/>
  <sheetViews>
    <sheetView showGridLines="0" topLeftCell="D4" zoomScaleNormal="100" workbookViewId="0">
      <selection activeCell="U47" sqref="U47"/>
    </sheetView>
  </sheetViews>
  <sheetFormatPr defaultColWidth="9.140625" defaultRowHeight="15" customHeight="1"/>
  <cols>
    <col min="1" max="1" width="9.140625" style="32" hidden="1" customWidth="1"/>
    <col min="2" max="2" width="8" style="44" hidden="1" customWidth="1"/>
    <col min="3" max="3" width="10" style="32" hidden="1" customWidth="1"/>
    <col min="4" max="4" width="10" style="50" customWidth="1"/>
    <col min="5" max="5" width="32.85546875" style="61" customWidth="1"/>
    <col min="6" max="12" width="10" style="53" customWidth="1"/>
    <col min="13" max="14" width="10" style="1" customWidth="1"/>
    <col min="15" max="16384" width="9.140625" style="1"/>
  </cols>
  <sheetData>
    <row r="1" spans="1:22" s="32" customFormat="1" ht="15" hidden="1" customHeight="1">
      <c r="A1" s="32" t="s">
        <v>254</v>
      </c>
      <c r="B1" s="44">
        <v>3</v>
      </c>
      <c r="E1" s="67"/>
      <c r="F1" s="44">
        <v>20</v>
      </c>
      <c r="G1" s="44">
        <f>F1+1</f>
        <v>21</v>
      </c>
      <c r="H1" s="44">
        <f>G1+1</f>
        <v>22</v>
      </c>
      <c r="I1" s="44">
        <f>H1+1</f>
        <v>23</v>
      </c>
      <c r="J1" s="44">
        <f>I1+1</f>
        <v>24</v>
      </c>
      <c r="K1" s="44">
        <f>+J1+1</f>
        <v>25</v>
      </c>
      <c r="L1" s="45"/>
      <c r="M1" s="45">
        <v>26</v>
      </c>
      <c r="N1" s="32">
        <f>M1+1</f>
        <v>27</v>
      </c>
      <c r="O1" s="32">
        <f>N1+1</f>
        <v>28</v>
      </c>
    </row>
    <row r="2" spans="1:22" s="32" customFormat="1" ht="15" hidden="1" customHeight="1">
      <c r="B2" s="44"/>
      <c r="E2" s="67"/>
      <c r="F2" s="32">
        <v>18</v>
      </c>
      <c r="G2" s="32">
        <f t="shared" ref="G2:J3" si="0">+F2+1</f>
        <v>19</v>
      </c>
      <c r="H2" s="32">
        <f t="shared" si="0"/>
        <v>20</v>
      </c>
      <c r="I2" s="32">
        <f t="shared" si="0"/>
        <v>21</v>
      </c>
      <c r="J2" s="32">
        <f t="shared" si="0"/>
        <v>22</v>
      </c>
      <c r="K2" s="32">
        <f>+J2+1</f>
        <v>23</v>
      </c>
      <c r="M2" s="32">
        <v>25</v>
      </c>
      <c r="N2" s="32">
        <f>+M2+1</f>
        <v>26</v>
      </c>
    </row>
    <row r="3" spans="1:22" s="32" customFormat="1" ht="15" hidden="1" customHeight="1">
      <c r="B3" s="44"/>
      <c r="E3" s="67" t="s">
        <v>274</v>
      </c>
      <c r="F3" s="32">
        <v>15</v>
      </c>
      <c r="G3" s="32">
        <f t="shared" si="0"/>
        <v>16</v>
      </c>
      <c r="H3" s="32">
        <f t="shared" si="0"/>
        <v>17</v>
      </c>
      <c r="I3" s="32">
        <f t="shared" si="0"/>
        <v>18</v>
      </c>
      <c r="J3" s="32">
        <f t="shared" si="0"/>
        <v>19</v>
      </c>
      <c r="K3" s="32">
        <f>+J3+1</f>
        <v>20</v>
      </c>
    </row>
    <row r="5" spans="1:22" ht="15" customHeight="1">
      <c r="E5" s="815" t="str">
        <f>"Attachment 2: Data Summary and Detail Tables - "&amp;'Campus Selector'!$G$3</f>
        <v>Attachment 2: Data Summary and Detail Tables - Canton</v>
      </c>
      <c r="F5" s="815"/>
      <c r="G5" s="815"/>
      <c r="H5" s="815"/>
      <c r="I5" s="815"/>
      <c r="J5" s="815"/>
      <c r="K5" s="815"/>
      <c r="L5" s="815"/>
      <c r="M5" s="815"/>
      <c r="N5" s="815"/>
      <c r="R5" s="813"/>
      <c r="S5" s="813"/>
      <c r="T5" s="813"/>
      <c r="U5" s="813"/>
      <c r="V5" s="813"/>
    </row>
    <row r="6" spans="1:22" ht="15" customHeight="1">
      <c r="E6" s="816" t="s">
        <v>348</v>
      </c>
      <c r="F6" s="816"/>
      <c r="G6" s="816"/>
      <c r="H6" s="816"/>
      <c r="I6" s="816"/>
      <c r="J6" s="816"/>
      <c r="K6" s="816"/>
      <c r="L6" s="816"/>
      <c r="M6" s="816"/>
      <c r="N6" s="816"/>
    </row>
    <row r="7" spans="1:22">
      <c r="D7" s="526"/>
      <c r="E7" s="701"/>
      <c r="F7" s="701"/>
      <c r="G7" s="701"/>
      <c r="H7" s="701"/>
      <c r="I7" s="701"/>
      <c r="J7" s="701"/>
      <c r="K7" s="701"/>
      <c r="L7" s="701"/>
      <c r="M7" s="701"/>
    </row>
    <row r="8" spans="1:22" ht="41.25" customHeight="1">
      <c r="B8" s="47" t="s">
        <v>253</v>
      </c>
      <c r="C8" s="48"/>
      <c r="D8" s="526"/>
      <c r="E8" s="715" t="s">
        <v>464</v>
      </c>
      <c r="F8" s="98" t="s">
        <v>49</v>
      </c>
      <c r="G8" s="98" t="s">
        <v>50</v>
      </c>
      <c r="H8" s="98" t="s">
        <v>51</v>
      </c>
      <c r="I8" s="98" t="s">
        <v>52</v>
      </c>
      <c r="J8" s="98" t="s">
        <v>53</v>
      </c>
      <c r="K8" s="98" t="s">
        <v>261</v>
      </c>
      <c r="L8" s="98" t="s">
        <v>416</v>
      </c>
      <c r="M8" s="98" t="s">
        <v>231</v>
      </c>
      <c r="N8" s="98" t="s">
        <v>54</v>
      </c>
    </row>
    <row r="9" spans="1:22" ht="15" customHeight="1">
      <c r="B9" s="47"/>
      <c r="C9" s="48"/>
      <c r="D9" s="526"/>
      <c r="E9" s="831" t="s">
        <v>48</v>
      </c>
      <c r="F9" s="832"/>
      <c r="G9" s="832"/>
      <c r="H9" s="832"/>
      <c r="I9" s="832"/>
      <c r="J9" s="832"/>
      <c r="K9" s="832"/>
      <c r="L9" s="832"/>
      <c r="M9" s="832"/>
      <c r="N9" s="833"/>
    </row>
    <row r="10" spans="1:22" ht="15" customHeight="1">
      <c r="B10" s="47"/>
      <c r="C10" s="48"/>
      <c r="D10" s="526"/>
      <c r="E10" s="179" t="s">
        <v>55</v>
      </c>
      <c r="F10" s="95">
        <f t="shared" ref="F10:J10" si="1">SUM(F11,F12)</f>
        <v>295</v>
      </c>
      <c r="G10" s="95">
        <f t="shared" si="1"/>
        <v>291</v>
      </c>
      <c r="H10" s="95">
        <f t="shared" si="1"/>
        <v>307</v>
      </c>
      <c r="I10" s="180">
        <f t="shared" si="1"/>
        <v>319</v>
      </c>
      <c r="J10" s="180">
        <f t="shared" si="1"/>
        <v>320</v>
      </c>
      <c r="K10" s="180" t="s">
        <v>187</v>
      </c>
      <c r="L10" s="275">
        <f>(+J10-F10)/F10</f>
        <v>8.4745762711864403E-2</v>
      </c>
      <c r="M10" s="180">
        <f t="shared" ref="M10:N10" si="2">IF(SUM(M11,M12)=0,"",SUM(M11,M12))</f>
        <v>320</v>
      </c>
      <c r="N10" s="180">
        <f t="shared" si="2"/>
        <v>325</v>
      </c>
    </row>
    <row r="11" spans="1:22" ht="15" customHeight="1">
      <c r="B11" s="44">
        <v>51</v>
      </c>
      <c r="C11" s="48" t="str">
        <f>TEXT($B$1,"00")&amp;"."&amp;TEXT($B11,"000")&amp;"."&amp;TEXT('Campus Selector'!$G$6,"00")</f>
        <v>03.051.25</v>
      </c>
      <c r="D11" s="526"/>
      <c r="E11" s="92" t="s">
        <v>286</v>
      </c>
      <c r="F11" s="135">
        <v>215</v>
      </c>
      <c r="G11" s="135">
        <v>209</v>
      </c>
      <c r="H11" s="135">
        <v>223</v>
      </c>
      <c r="I11" s="135">
        <v>245</v>
      </c>
      <c r="J11" s="135">
        <v>261</v>
      </c>
      <c r="K11" s="396" t="s">
        <v>327</v>
      </c>
      <c r="L11" s="72">
        <f>(+J11-F11)/F11</f>
        <v>0.21395348837209302</v>
      </c>
      <c r="M11" s="789">
        <v>261</v>
      </c>
      <c r="N11" s="261">
        <v>265</v>
      </c>
    </row>
    <row r="12" spans="1:22" ht="15" customHeight="1">
      <c r="B12" s="44">
        <v>52</v>
      </c>
      <c r="C12" s="48" t="str">
        <f>TEXT($B$1,"00")&amp;"."&amp;TEXT($B12,"000")&amp;"."&amp;TEXT('Campus Selector'!$G$6,"00")</f>
        <v>03.052.25</v>
      </c>
      <c r="D12" s="526"/>
      <c r="E12" s="92" t="s">
        <v>293</v>
      </c>
      <c r="F12" s="135">
        <v>80</v>
      </c>
      <c r="G12" s="135">
        <v>82</v>
      </c>
      <c r="H12" s="135">
        <v>84</v>
      </c>
      <c r="I12" s="166">
        <v>74</v>
      </c>
      <c r="J12" s="166">
        <v>59</v>
      </c>
      <c r="K12" s="397" t="s">
        <v>327</v>
      </c>
      <c r="L12" s="72">
        <f>(+J12-F12)/F12</f>
        <v>-0.26250000000000001</v>
      </c>
      <c r="M12" s="789">
        <v>59</v>
      </c>
      <c r="N12" s="261">
        <v>60</v>
      </c>
    </row>
    <row r="13" spans="1:22" ht="6" customHeight="1">
      <c r="C13" s="48"/>
      <c r="D13" s="526"/>
      <c r="E13" s="133"/>
      <c r="F13" s="178"/>
      <c r="G13" s="178"/>
      <c r="H13" s="178"/>
      <c r="I13" s="167"/>
      <c r="J13" s="167"/>
      <c r="K13" s="167"/>
      <c r="L13" s="75"/>
      <c r="M13" s="188"/>
      <c r="N13" s="188"/>
    </row>
    <row r="14" spans="1:22" s="290" customFormat="1" ht="15" customHeight="1">
      <c r="A14" s="159"/>
      <c r="B14" s="160"/>
      <c r="C14" s="286"/>
      <c r="D14" s="526"/>
      <c r="E14" s="302" t="s">
        <v>343</v>
      </c>
      <c r="F14" s="275">
        <f>+F11/F10</f>
        <v>0.72881355932203384</v>
      </c>
      <c r="G14" s="275">
        <f>+G11/G10</f>
        <v>0.71821305841924399</v>
      </c>
      <c r="H14" s="275">
        <f>+H11/H10</f>
        <v>0.7263843648208469</v>
      </c>
      <c r="I14" s="275">
        <f>+I11/I10</f>
        <v>0.76802507836990597</v>
      </c>
      <c r="J14" s="275">
        <f>+J11/J10</f>
        <v>0.81562500000000004</v>
      </c>
      <c r="K14" s="292" t="s">
        <v>327</v>
      </c>
      <c r="L14" s="424" t="s">
        <v>327</v>
      </c>
      <c r="M14" s="275">
        <f>IF(ISERROR(+M11/M10),"-",+M11/M10)</f>
        <v>0.81562500000000004</v>
      </c>
      <c r="N14" s="275">
        <f>IF(ISERROR(+N11/N10),"-",+N11/N10)</f>
        <v>0.81538461538461537</v>
      </c>
    </row>
    <row r="15" spans="1:22" ht="15" customHeight="1">
      <c r="B15" s="44">
        <v>409</v>
      </c>
      <c r="C15" s="48" t="str">
        <f>TEXT($B$1,"00")&amp;"."&amp;TEXT($B15,"000")&amp;"."&amp;TEXT('Campus Selector'!$J$9,"00")</f>
        <v>03.409.90</v>
      </c>
      <c r="D15" s="526"/>
      <c r="E15" s="243" t="s">
        <v>284</v>
      </c>
      <c r="F15" s="244">
        <v>0.82891660171473114</v>
      </c>
      <c r="G15" s="244">
        <v>0.82088943288453697</v>
      </c>
      <c r="H15" s="244">
        <v>0.81166272655634353</v>
      </c>
      <c r="I15" s="244">
        <v>0.80669424595712669</v>
      </c>
      <c r="J15" s="244">
        <v>0.79904306220095689</v>
      </c>
      <c r="K15" s="255" t="s">
        <v>327</v>
      </c>
      <c r="L15" s="425" t="s">
        <v>327</v>
      </c>
      <c r="M15" s="255" t="s">
        <v>327</v>
      </c>
      <c r="N15" s="255" t="s">
        <v>327</v>
      </c>
    </row>
    <row r="16" spans="1:22" ht="6" customHeight="1">
      <c r="C16" s="48"/>
      <c r="D16" s="526"/>
      <c r="E16" s="133"/>
      <c r="F16" s="178"/>
      <c r="G16" s="178"/>
      <c r="H16" s="178"/>
      <c r="I16" s="167"/>
      <c r="J16" s="167"/>
      <c r="K16" s="167"/>
      <c r="L16" s="75"/>
      <c r="M16" s="188"/>
      <c r="N16" s="188"/>
    </row>
    <row r="17" spans="1:14" ht="15" hidden="1" customHeight="1">
      <c r="B17" s="47"/>
      <c r="C17" s="48"/>
      <c r="D17" s="526"/>
      <c r="E17" s="179" t="s">
        <v>597</v>
      </c>
      <c r="F17" s="95">
        <f>SUM(F18,F19)</f>
        <v>0</v>
      </c>
      <c r="G17" s="95">
        <f>SUM(G18,G19)</f>
        <v>0</v>
      </c>
      <c r="H17" s="95">
        <f>SUM(H18,H19)</f>
        <v>0</v>
      </c>
      <c r="I17" s="180">
        <f>SUM(I18,I19)</f>
        <v>0</v>
      </c>
      <c r="J17" s="180">
        <f>SUM(J18,J19)</f>
        <v>0</v>
      </c>
      <c r="K17" s="180" t="s">
        <v>187</v>
      </c>
      <c r="L17" s="275" t="str">
        <f>IF(ISERROR((+J17-F17)/F17),"-",(+J17-F17)/F17)</f>
        <v>-</v>
      </c>
      <c r="M17" s="546" t="str">
        <f>IF(SUM(M18,M19)=0,"",SUM(M18,M19))</f>
        <v/>
      </c>
      <c r="N17" s="547" t="str">
        <f>IF(SUM(N18,N19)=0,"",SUM(N18,N19))</f>
        <v/>
      </c>
    </row>
    <row r="18" spans="1:14" ht="15" hidden="1" customHeight="1">
      <c r="B18" s="44">
        <v>54</v>
      </c>
      <c r="C18" s="48" t="str">
        <f>TEXT($B$1,"00")&amp;"."&amp;TEXT($B18,"000")&amp;"."&amp;TEXT('Campus Selector'!$G$6,"00")</f>
        <v>03.054.25</v>
      </c>
      <c r="D18" s="526"/>
      <c r="E18" s="92" t="s">
        <v>286</v>
      </c>
      <c r="F18" s="135" t="s">
        <v>708</v>
      </c>
      <c r="G18" s="135" t="s">
        <v>708</v>
      </c>
      <c r="H18" s="135" t="s">
        <v>708</v>
      </c>
      <c r="I18" s="135" t="s">
        <v>708</v>
      </c>
      <c r="J18" s="135" t="s">
        <v>708</v>
      </c>
      <c r="K18" s="396" t="s">
        <v>327</v>
      </c>
      <c r="L18" s="77" t="str">
        <f>IF(ISERROR((+J18-F18)/F18),"-",(+J18-F18)/F18)</f>
        <v>-</v>
      </c>
      <c r="M18" s="260"/>
      <c r="N18" s="261"/>
    </row>
    <row r="19" spans="1:14" ht="15" hidden="1" customHeight="1">
      <c r="B19" s="44">
        <v>55</v>
      </c>
      <c r="C19" s="48" t="str">
        <f>TEXT($B$1,"00")&amp;"."&amp;TEXT($B19,"000")&amp;"."&amp;TEXT('Campus Selector'!$G$6,"00")</f>
        <v>03.055.25</v>
      </c>
      <c r="D19" s="526"/>
      <c r="E19" s="92" t="s">
        <v>293</v>
      </c>
      <c r="F19" s="135" t="s">
        <v>708</v>
      </c>
      <c r="G19" s="135" t="s">
        <v>708</v>
      </c>
      <c r="H19" s="135" t="s">
        <v>708</v>
      </c>
      <c r="I19" s="166" t="s">
        <v>708</v>
      </c>
      <c r="J19" s="166" t="s">
        <v>708</v>
      </c>
      <c r="K19" s="397" t="s">
        <v>327</v>
      </c>
      <c r="L19" s="72" t="str">
        <f>IF(ISERROR((+J19-F19)/F19),"-",(+J19-F19)/F19)</f>
        <v>-</v>
      </c>
      <c r="M19" s="260"/>
      <c r="N19" s="261"/>
    </row>
    <row r="20" spans="1:14" ht="6" hidden="1" customHeight="1">
      <c r="C20" s="48"/>
      <c r="D20" s="526"/>
      <c r="E20" s="133"/>
      <c r="F20" s="178"/>
      <c r="G20" s="178"/>
      <c r="H20" s="178"/>
      <c r="I20" s="167"/>
      <c r="J20" s="167"/>
      <c r="K20" s="167"/>
      <c r="L20" s="75"/>
      <c r="M20" s="188"/>
      <c r="N20" s="188"/>
    </row>
    <row r="21" spans="1:14" s="290" customFormat="1" ht="15" hidden="1" customHeight="1">
      <c r="A21" s="159"/>
      <c r="B21" s="160"/>
      <c r="C21" s="286"/>
      <c r="D21" s="526"/>
      <c r="E21" s="302" t="s">
        <v>598</v>
      </c>
      <c r="F21" s="275" t="str">
        <f>IF(ISERROR(+(F11-F18)/(F10-F17)),"-",+(F11-F18)/(F10-F17))</f>
        <v>-</v>
      </c>
      <c r="G21" s="275" t="str">
        <f>IF(ISERROR(+(G11-G18)/(G10-G17)),"-",+(G11-G18)/(G10-G17))</f>
        <v>-</v>
      </c>
      <c r="H21" s="275" t="str">
        <f>IF(ISERROR(+(H11-H18)/(H10-H17)),"-",+(H11-H18)/(H10-H17))</f>
        <v>-</v>
      </c>
      <c r="I21" s="275" t="str">
        <f>IF(ISERROR(+(I11-I18)/(I10-I17)),"-",+(I11-I18)/(I10-I17))</f>
        <v>-</v>
      </c>
      <c r="J21" s="275" t="str">
        <f>IF(ISERROR(+(J11-J18)/(J10-J17)),"-",+(J11-J18)/(J10-J17))</f>
        <v>-</v>
      </c>
      <c r="K21" s="292" t="s">
        <v>327</v>
      </c>
      <c r="L21" s="424" t="s">
        <v>327</v>
      </c>
      <c r="M21" s="275" t="str">
        <f>IF(ISERROR(+(M11-M18)/(M10-M17)),"-",+(M11-M18)/(M10-M17))</f>
        <v>-</v>
      </c>
      <c r="N21" s="275" t="str">
        <f>IF(ISERROR(+(N11-N18)/(N10-N17)),"-",+(N11-N18)/(N10-N17))</f>
        <v>-</v>
      </c>
    </row>
    <row r="22" spans="1:14" ht="6" hidden="1" customHeight="1">
      <c r="C22" s="48"/>
      <c r="D22" s="526"/>
      <c r="E22" s="133"/>
      <c r="F22" s="178"/>
      <c r="G22" s="178"/>
      <c r="H22" s="178"/>
      <c r="I22" s="167"/>
      <c r="J22" s="167"/>
      <c r="K22" s="167"/>
      <c r="L22" s="75"/>
      <c r="M22" s="188"/>
      <c r="N22" s="188"/>
    </row>
    <row r="23" spans="1:14" ht="15" customHeight="1">
      <c r="C23" s="48"/>
      <c r="D23" s="526"/>
      <c r="E23" s="831" t="s">
        <v>390</v>
      </c>
      <c r="F23" s="832"/>
      <c r="G23" s="832"/>
      <c r="H23" s="832"/>
      <c r="I23" s="832"/>
      <c r="J23" s="832"/>
      <c r="K23" s="832"/>
      <c r="L23" s="832"/>
      <c r="M23" s="832"/>
      <c r="N23" s="833"/>
    </row>
    <row r="24" spans="1:14" ht="15" customHeight="1">
      <c r="C24" s="48"/>
      <c r="D24" s="526"/>
      <c r="E24" s="179" t="s">
        <v>350</v>
      </c>
      <c r="F24" s="95">
        <f>SUM(F25,F27:F31,F33,F34)</f>
        <v>215</v>
      </c>
      <c r="G24" s="187" t="s">
        <v>327</v>
      </c>
      <c r="H24" s="95">
        <f>SUM(H25,H27:H31,H33,H34)</f>
        <v>223</v>
      </c>
      <c r="I24" s="307" t="s">
        <v>327</v>
      </c>
      <c r="J24" s="180">
        <f>SUM(J25,J27:J31,J33,J34)</f>
        <v>261</v>
      </c>
      <c r="K24" s="307" t="s">
        <v>327</v>
      </c>
      <c r="L24" s="275">
        <f t="shared" ref="L24:L25" si="3">(+J24-F24)/F24</f>
        <v>0.21395348837209302</v>
      </c>
      <c r="M24" s="837" t="s">
        <v>714</v>
      </c>
      <c r="N24" s="838"/>
    </row>
    <row r="25" spans="1:14" ht="15" customHeight="1">
      <c r="B25" s="44">
        <v>53</v>
      </c>
      <c r="C25" s="48" t="str">
        <f>TEXT($B$1,"00")&amp;"."&amp;TEXT($B25,"000")&amp;"."&amp;TEXT('Campus Selector'!$G$6,"00")</f>
        <v>03.053.25</v>
      </c>
      <c r="D25" s="526"/>
      <c r="E25" s="92" t="s">
        <v>11</v>
      </c>
      <c r="F25" s="79">
        <v>207</v>
      </c>
      <c r="G25" s="191" t="s">
        <v>327</v>
      </c>
      <c r="H25" s="79">
        <v>215</v>
      </c>
      <c r="I25" s="108" t="s">
        <v>327</v>
      </c>
      <c r="J25" s="108">
        <v>251</v>
      </c>
      <c r="K25" s="108" t="s">
        <v>327</v>
      </c>
      <c r="L25" s="77">
        <f t="shared" si="3"/>
        <v>0.21256038647342995</v>
      </c>
      <c r="M25" s="839"/>
      <c r="N25" s="840"/>
    </row>
    <row r="26" spans="1:14" ht="15" customHeight="1">
      <c r="C26" s="48"/>
      <c r="D26" s="526"/>
      <c r="E26" s="153" t="s">
        <v>12</v>
      </c>
      <c r="F26" s="172">
        <f>SUM(F27:F31)</f>
        <v>7</v>
      </c>
      <c r="G26" s="172" t="s">
        <v>327</v>
      </c>
      <c r="H26" s="172">
        <f>SUM(H27:H31)</f>
        <v>7</v>
      </c>
      <c r="I26" s="136" t="s">
        <v>327</v>
      </c>
      <c r="J26" s="136">
        <f>SUM(J27:J31)</f>
        <v>9</v>
      </c>
      <c r="K26" s="136" t="s">
        <v>327</v>
      </c>
      <c r="L26" s="152">
        <f>IF(ISERROR((+J26-F26)/F26),"-",(+J26-F26)/F26)</f>
        <v>0.2857142857142857</v>
      </c>
      <c r="M26" s="839"/>
      <c r="N26" s="840"/>
    </row>
    <row r="27" spans="1:14" ht="15" customHeight="1">
      <c r="B27" s="44">
        <v>56</v>
      </c>
      <c r="C27" s="48" t="str">
        <f>TEXT($B$1,"00")&amp;"."&amp;TEXT($B27,"000")&amp;"."&amp;TEXT('Campus Selector'!$G$6,"00")</f>
        <v>03.056.25</v>
      </c>
      <c r="D27" s="526"/>
      <c r="E27" s="138" t="s">
        <v>56</v>
      </c>
      <c r="F27" s="79">
        <v>4</v>
      </c>
      <c r="G27" s="79" t="s">
        <v>327</v>
      </c>
      <c r="H27" s="79">
        <v>4</v>
      </c>
      <c r="I27" s="108" t="s">
        <v>327</v>
      </c>
      <c r="J27" s="108">
        <v>6</v>
      </c>
      <c r="K27" s="108" t="s">
        <v>327</v>
      </c>
      <c r="L27" s="77">
        <f>IF(ISERROR((+J27-F27)/F27),"-",(+J27-F27)/F27)</f>
        <v>0.5</v>
      </c>
      <c r="M27" s="839"/>
      <c r="N27" s="840"/>
    </row>
    <row r="28" spans="1:14" ht="15" customHeight="1">
      <c r="B28" s="44">
        <v>57</v>
      </c>
      <c r="C28" s="48" t="str">
        <f>TEXT($B$1,"00")&amp;"."&amp;TEXT($B28,"000")&amp;"."&amp;TEXT('Campus Selector'!$G$6,"00")</f>
        <v>03.057.25</v>
      </c>
      <c r="D28" s="526"/>
      <c r="E28" s="138" t="s">
        <v>57</v>
      </c>
      <c r="F28" s="79">
        <v>1</v>
      </c>
      <c r="G28" s="79" t="s">
        <v>327</v>
      </c>
      <c r="H28" s="79">
        <v>1</v>
      </c>
      <c r="I28" s="108" t="s">
        <v>327</v>
      </c>
      <c r="J28" s="108">
        <v>0</v>
      </c>
      <c r="K28" s="108" t="s">
        <v>327</v>
      </c>
      <c r="L28" s="77">
        <f>IF(ISERROR((+J28-F28)/F28),"-",(+J28-F28)/F28)</f>
        <v>-1</v>
      </c>
      <c r="M28" s="839"/>
      <c r="N28" s="840"/>
    </row>
    <row r="29" spans="1:14" ht="15" customHeight="1">
      <c r="B29" s="44">
        <v>58</v>
      </c>
      <c r="C29" s="48" t="str">
        <f>TEXT($B$1,"00")&amp;"."&amp;TEXT($B29,"000")&amp;"."&amp;TEXT('Campus Selector'!$G$6,"00")</f>
        <v>03.058.25</v>
      </c>
      <c r="D29" s="526"/>
      <c r="E29" s="138" t="s">
        <v>58</v>
      </c>
      <c r="F29" s="79">
        <v>2</v>
      </c>
      <c r="G29" s="79" t="s">
        <v>327</v>
      </c>
      <c r="H29" s="79">
        <v>2</v>
      </c>
      <c r="I29" s="108" t="s">
        <v>327</v>
      </c>
      <c r="J29" s="108">
        <v>2</v>
      </c>
      <c r="K29" s="108" t="s">
        <v>327</v>
      </c>
      <c r="L29" s="77">
        <f>IF(ISERROR((+J29-F29)/F29),"-",(+J29-F29)/F29)</f>
        <v>0</v>
      </c>
      <c r="M29" s="839"/>
      <c r="N29" s="840"/>
    </row>
    <row r="30" spans="1:14" ht="15" customHeight="1">
      <c r="B30" s="47">
        <v>59</v>
      </c>
      <c r="C30" s="48" t="str">
        <f>TEXT($B$1,"00")&amp;"."&amp;TEXT($B30,"000")&amp;"."&amp;TEXT('Campus Selector'!$G$6,"00")</f>
        <v>03.059.25</v>
      </c>
      <c r="D30" s="526"/>
      <c r="E30" s="138" t="s">
        <v>59</v>
      </c>
      <c r="F30" s="79">
        <v>0</v>
      </c>
      <c r="G30" s="79" t="s">
        <v>327</v>
      </c>
      <c r="H30" s="79">
        <v>0</v>
      </c>
      <c r="I30" s="108" t="s">
        <v>327</v>
      </c>
      <c r="J30" s="108">
        <v>1</v>
      </c>
      <c r="K30" s="108" t="s">
        <v>327</v>
      </c>
      <c r="L30" s="77" t="str">
        <f>IF(ISERROR((+J30-F30)/F30),"-",(+J30-F30)/F30)</f>
        <v>-</v>
      </c>
      <c r="M30" s="839"/>
      <c r="N30" s="840"/>
    </row>
    <row r="31" spans="1:14" ht="15" customHeight="1">
      <c r="B31" s="47">
        <v>60</v>
      </c>
      <c r="C31" s="48" t="str">
        <f>TEXT($B$1,"00")&amp;"."&amp;TEXT($B31,"000")&amp;"."&amp;TEXT('Campus Selector'!$G$6,"00")</f>
        <v>03.060.25</v>
      </c>
      <c r="D31" s="526"/>
      <c r="E31" s="138" t="s">
        <v>60</v>
      </c>
      <c r="F31" s="79">
        <v>0</v>
      </c>
      <c r="G31" s="79" t="s">
        <v>327</v>
      </c>
      <c r="H31" s="79">
        <v>0</v>
      </c>
      <c r="I31" s="108" t="s">
        <v>327</v>
      </c>
      <c r="J31" s="108">
        <v>0</v>
      </c>
      <c r="K31" s="108" t="s">
        <v>327</v>
      </c>
      <c r="L31" s="77" t="str">
        <f>IF(ISERROR(IF(ISERROR((+J31-F31)/F31),"-",(+J31-F31)/F31)),"-",IF(ISERROR((+J31-F31)/F31),"-",(+J31-F31)/F31))</f>
        <v>-</v>
      </c>
      <c r="M31" s="839"/>
      <c r="N31" s="840"/>
    </row>
    <row r="32" spans="1:14" ht="15" customHeight="1">
      <c r="B32" s="47"/>
      <c r="C32" s="48"/>
      <c r="D32" s="526"/>
      <c r="E32" s="650" t="s">
        <v>667</v>
      </c>
      <c r="F32" s="172">
        <f>SUM(F27:F28,F30:F31)</f>
        <v>5</v>
      </c>
      <c r="G32" s="172" t="s">
        <v>327</v>
      </c>
      <c r="H32" s="172">
        <f>SUM(H27:H28,H30:H31)</f>
        <v>5</v>
      </c>
      <c r="I32" s="136" t="s">
        <v>327</v>
      </c>
      <c r="J32" s="136">
        <f>SUM(J27:J28,J30:J31)</f>
        <v>7</v>
      </c>
      <c r="K32" s="136" t="s">
        <v>327</v>
      </c>
      <c r="L32" s="152">
        <f>IF(ISERROR((+J32-F32)/F32),"-",(+J32-F32)/F32)</f>
        <v>0.4</v>
      </c>
      <c r="M32" s="839"/>
      <c r="N32" s="840"/>
    </row>
    <row r="33" spans="1:14" ht="15" customHeight="1">
      <c r="B33" s="44">
        <v>61</v>
      </c>
      <c r="C33" s="48" t="str">
        <f>TEXT($B$1,"00")&amp;"."&amp;TEXT($B33,"000")&amp;"."&amp;TEXT('Campus Selector'!$G$6,"00")</f>
        <v>03.061.25</v>
      </c>
      <c r="D33" s="526"/>
      <c r="E33" s="158" t="s">
        <v>13</v>
      </c>
      <c r="F33" s="117">
        <v>1</v>
      </c>
      <c r="G33" s="117" t="s">
        <v>327</v>
      </c>
      <c r="H33" s="117">
        <v>1</v>
      </c>
      <c r="I33" s="168" t="s">
        <v>327</v>
      </c>
      <c r="J33" s="168">
        <v>1</v>
      </c>
      <c r="K33" s="168" t="s">
        <v>327</v>
      </c>
      <c r="L33" s="114">
        <f>IF(ISERROR((+J33-F33)/F33),"-",(+J33-F33)/F33)</f>
        <v>0</v>
      </c>
      <c r="M33" s="839"/>
      <c r="N33" s="840"/>
    </row>
    <row r="34" spans="1:14" ht="15" customHeight="1">
      <c r="B34" s="44">
        <v>62</v>
      </c>
      <c r="C34" s="48" t="str">
        <f>TEXT($B$1,"00")&amp;"."&amp;TEXT($B34,"000")&amp;"."&amp;TEXT('Campus Selector'!$G$6,"00")</f>
        <v>03.062.25</v>
      </c>
      <c r="D34" s="526"/>
      <c r="E34" s="91" t="s">
        <v>14</v>
      </c>
      <c r="F34" s="88">
        <v>0</v>
      </c>
      <c r="G34" s="88" t="s">
        <v>327</v>
      </c>
      <c r="H34" s="88">
        <v>0</v>
      </c>
      <c r="I34" s="189" t="s">
        <v>327</v>
      </c>
      <c r="J34" s="189">
        <v>0</v>
      </c>
      <c r="K34" s="189" t="s">
        <v>327</v>
      </c>
      <c r="L34" s="100" t="str">
        <f>IF(ISERROR((+J34-F34)/F34),"-",(+J34-F34)/F34)</f>
        <v>-</v>
      </c>
      <c r="M34" s="839"/>
      <c r="N34" s="840"/>
    </row>
    <row r="35" spans="1:14" ht="6" customHeight="1">
      <c r="C35" s="48"/>
      <c r="D35" s="526"/>
      <c r="E35" s="133"/>
      <c r="F35" s="113"/>
      <c r="G35" s="113"/>
      <c r="H35" s="113"/>
      <c r="I35" s="306"/>
      <c r="J35" s="306"/>
      <c r="K35" s="306"/>
      <c r="L35" s="75"/>
      <c r="M35" s="839"/>
      <c r="N35" s="840"/>
    </row>
    <row r="36" spans="1:14" ht="15" customHeight="1">
      <c r="C36" s="48"/>
      <c r="D36" s="526"/>
      <c r="E36" s="179" t="s">
        <v>380</v>
      </c>
      <c r="F36" s="181">
        <f>+F26/F24</f>
        <v>3.255813953488372E-2</v>
      </c>
      <c r="G36" s="181" t="s">
        <v>327</v>
      </c>
      <c r="H36" s="181">
        <f>+H26/H24</f>
        <v>3.1390134529147982E-2</v>
      </c>
      <c r="I36" s="182" t="s">
        <v>327</v>
      </c>
      <c r="J36" s="182">
        <f>+J26/J24</f>
        <v>3.4482758620689655E-2</v>
      </c>
      <c r="K36" s="182" t="s">
        <v>327</v>
      </c>
      <c r="L36" s="311">
        <f t="shared" ref="L36:L37" si="4">(+J36-F36)/F36</f>
        <v>5.9113300492610835E-2</v>
      </c>
      <c r="M36" s="839"/>
      <c r="N36" s="840"/>
    </row>
    <row r="37" spans="1:14" ht="15" customHeight="1">
      <c r="B37" s="44">
        <v>411</v>
      </c>
      <c r="C37" s="48" t="str">
        <f>TEXT($B$1,"00")&amp;"."&amp;TEXT($B37,"000")&amp;"."&amp;TEXT('Campus Selector'!$J$9,"00")</f>
        <v>03.411.90</v>
      </c>
      <c r="D37" s="526"/>
      <c r="E37" s="243" t="s">
        <v>381</v>
      </c>
      <c r="F37" s="414">
        <v>0.1081335213916314</v>
      </c>
      <c r="G37" s="79" t="s">
        <v>327</v>
      </c>
      <c r="H37" s="414">
        <v>0.10339805825242719</v>
      </c>
      <c r="I37" s="79" t="s">
        <v>327</v>
      </c>
      <c r="J37" s="426">
        <v>0.10916628281897743</v>
      </c>
      <c r="K37" s="426" t="s">
        <v>327</v>
      </c>
      <c r="L37" s="417">
        <f t="shared" si="4"/>
        <v>9.5507980694130388E-3</v>
      </c>
      <c r="M37" s="839"/>
      <c r="N37" s="840"/>
    </row>
    <row r="38" spans="1:14" ht="6" customHeight="1">
      <c r="C38" s="48"/>
      <c r="D38" s="526"/>
      <c r="E38" s="133"/>
      <c r="F38" s="112"/>
      <c r="G38" s="112"/>
      <c r="H38" s="112"/>
      <c r="I38" s="306"/>
      <c r="J38" s="306"/>
      <c r="K38" s="306"/>
      <c r="L38" s="103"/>
      <c r="M38" s="839"/>
      <c r="N38" s="840"/>
    </row>
    <row r="39" spans="1:14" ht="15" customHeight="1">
      <c r="C39" s="48"/>
      <c r="D39" s="526"/>
      <c r="E39" s="179" t="s">
        <v>382</v>
      </c>
      <c r="F39" s="181">
        <f>+F32/F24</f>
        <v>2.3255813953488372E-2</v>
      </c>
      <c r="G39" s="181" t="s">
        <v>327</v>
      </c>
      <c r="H39" s="181">
        <f>+H32/H24</f>
        <v>2.2421524663677129E-2</v>
      </c>
      <c r="I39" s="182" t="s">
        <v>327</v>
      </c>
      <c r="J39" s="182">
        <f>+J32/J24</f>
        <v>2.681992337164751E-2</v>
      </c>
      <c r="K39" s="182" t="s">
        <v>327</v>
      </c>
      <c r="L39" s="311">
        <f>IF(ISERROR((+J39-F39)/F39),"-",(+J39-F39)/F39)</f>
        <v>0.15325670498084296</v>
      </c>
      <c r="M39" s="839"/>
      <c r="N39" s="840"/>
    </row>
    <row r="40" spans="1:14" ht="15" customHeight="1">
      <c r="B40" s="44">
        <v>410</v>
      </c>
      <c r="C40" s="48" t="str">
        <f>TEXT($B$1,"00")&amp;"."&amp;TEXT($B40,"000")&amp;"."&amp;TEXT('Campus Selector'!$J$9,"00")</f>
        <v>03.410.90</v>
      </c>
      <c r="D40" s="526"/>
      <c r="E40" s="249" t="s">
        <v>383</v>
      </c>
      <c r="F40" s="414">
        <v>9.4499294781382234E-2</v>
      </c>
      <c r="G40" s="79" t="s">
        <v>327</v>
      </c>
      <c r="H40" s="414">
        <v>9.1747572815533987E-2</v>
      </c>
      <c r="I40" s="79" t="s">
        <v>327</v>
      </c>
      <c r="J40" s="426">
        <v>9.580838323353294E-2</v>
      </c>
      <c r="K40" s="426" t="s">
        <v>327</v>
      </c>
      <c r="L40" s="417">
        <f t="shared" ref="L40" si="5">(+J40-F40)/F40</f>
        <v>1.3852891232460451E-2</v>
      </c>
      <c r="M40" s="841"/>
      <c r="N40" s="842"/>
    </row>
    <row r="41" spans="1:14" ht="6.95" customHeight="1">
      <c r="C41" s="48"/>
      <c r="D41" s="526"/>
      <c r="E41" s="104"/>
      <c r="F41" s="167"/>
      <c r="G41" s="167"/>
      <c r="H41" s="167"/>
      <c r="I41" s="167"/>
      <c r="J41" s="167"/>
      <c r="K41" s="167"/>
      <c r="L41" s="167"/>
      <c r="M41" s="175"/>
      <c r="N41" s="175"/>
    </row>
    <row r="42" spans="1:14" ht="15" customHeight="1">
      <c r="C42" s="48"/>
      <c r="D42" s="526"/>
      <c r="E42" s="831" t="s">
        <v>391</v>
      </c>
      <c r="F42" s="832"/>
      <c r="G42" s="832"/>
      <c r="H42" s="832"/>
      <c r="I42" s="832"/>
      <c r="J42" s="832"/>
      <c r="K42" s="832"/>
      <c r="L42" s="832"/>
      <c r="M42" s="832"/>
      <c r="N42" s="833"/>
    </row>
    <row r="43" spans="1:14" ht="15" customHeight="1">
      <c r="C43" s="48"/>
      <c r="D43" s="526"/>
      <c r="E43" s="179" t="s">
        <v>350</v>
      </c>
      <c r="F43" s="95">
        <f>F44+F45</f>
        <v>215</v>
      </c>
      <c r="G43" s="95" t="s">
        <v>327</v>
      </c>
      <c r="H43" s="95">
        <f>H44+H45</f>
        <v>223</v>
      </c>
      <c r="I43" s="180" t="s">
        <v>327</v>
      </c>
      <c r="J43" s="95">
        <f>J44+J45</f>
        <v>261</v>
      </c>
      <c r="K43" s="180" t="s">
        <v>327</v>
      </c>
      <c r="L43" s="275">
        <f>(+J43-F43)/F43</f>
        <v>0.21395348837209302</v>
      </c>
      <c r="M43" s="790">
        <f t="shared" ref="M43:N43" si="6">IF(SUM(M44,M45)=0,"",SUM(M44,M45))</f>
        <v>261</v>
      </c>
      <c r="N43" s="791">
        <f t="shared" si="6"/>
        <v>265</v>
      </c>
    </row>
    <row r="44" spans="1:14" ht="15" customHeight="1">
      <c r="B44" s="44">
        <v>63</v>
      </c>
      <c r="C44" s="48" t="str">
        <f>TEXT($B$1,"00")&amp;"."&amp;TEXT($B44,"000")&amp;"."&amp;TEXT('Campus Selector'!$G$6,"00")</f>
        <v>03.063.25</v>
      </c>
      <c r="D44" s="526"/>
      <c r="E44" s="158" t="s">
        <v>61</v>
      </c>
      <c r="F44" s="117">
        <v>104</v>
      </c>
      <c r="G44" s="117" t="s">
        <v>327</v>
      </c>
      <c r="H44" s="117">
        <v>104</v>
      </c>
      <c r="I44" s="168" t="s">
        <v>327</v>
      </c>
      <c r="J44" s="168">
        <v>128</v>
      </c>
      <c r="K44" s="168" t="s">
        <v>327</v>
      </c>
      <c r="L44" s="114">
        <f>(+J44-F44)/F44</f>
        <v>0.23076923076923078</v>
      </c>
      <c r="M44" s="792">
        <v>128</v>
      </c>
      <c r="N44" s="793">
        <v>130</v>
      </c>
    </row>
    <row r="45" spans="1:14" ht="15" customHeight="1">
      <c r="B45" s="47">
        <v>64</v>
      </c>
      <c r="C45" s="48" t="str">
        <f>TEXT($B$1,"00")&amp;"."&amp;TEXT($B45,"000")&amp;"."&amp;TEXT('Campus Selector'!$G$6,"00")</f>
        <v>03.064.25</v>
      </c>
      <c r="D45" s="526"/>
      <c r="E45" s="92" t="s">
        <v>62</v>
      </c>
      <c r="F45" s="79">
        <v>111</v>
      </c>
      <c r="G45" s="79" t="s">
        <v>327</v>
      </c>
      <c r="H45" s="79">
        <v>119</v>
      </c>
      <c r="I45" s="108" t="s">
        <v>327</v>
      </c>
      <c r="J45" s="108">
        <v>133</v>
      </c>
      <c r="K45" s="108" t="s">
        <v>327</v>
      </c>
      <c r="L45" s="77">
        <f>(+J45-F45)/F45</f>
        <v>0.1981981981981982</v>
      </c>
      <c r="M45" s="260">
        <v>133</v>
      </c>
      <c r="N45" s="261">
        <v>135</v>
      </c>
    </row>
    <row r="46" spans="1:14" ht="6" customHeight="1">
      <c r="C46" s="48"/>
      <c r="D46" s="526"/>
      <c r="E46" s="104"/>
      <c r="F46" s="167"/>
      <c r="G46" s="167"/>
      <c r="H46" s="167"/>
      <c r="I46" s="167"/>
      <c r="J46" s="167"/>
      <c r="K46" s="167"/>
      <c r="L46" s="167"/>
      <c r="M46" s="175"/>
      <c r="N46" s="175"/>
    </row>
    <row r="47" spans="1:14" s="290" customFormat="1" ht="15" customHeight="1">
      <c r="A47" s="159"/>
      <c r="B47" s="160"/>
      <c r="C47" s="286"/>
      <c r="D47" s="526"/>
      <c r="E47" s="179" t="s">
        <v>384</v>
      </c>
      <c r="F47" s="308">
        <f>+F44/F43</f>
        <v>0.48372093023255813</v>
      </c>
      <c r="G47" s="308" t="s">
        <v>327</v>
      </c>
      <c r="H47" s="308">
        <f>+H44/H43</f>
        <v>0.46636771300448432</v>
      </c>
      <c r="I47" s="309" t="s">
        <v>327</v>
      </c>
      <c r="J47" s="309">
        <f>+J44/J43</f>
        <v>0.49042145593869729</v>
      </c>
      <c r="K47" s="309" t="s">
        <v>327</v>
      </c>
      <c r="L47" s="428" t="s">
        <v>327</v>
      </c>
      <c r="M47" s="310">
        <f>IF(ISERROR(+M44/M$43),"-",+M44/M$43)</f>
        <v>0.49042145593869729</v>
      </c>
      <c r="N47" s="310">
        <f>IF(ISERROR(+N44/N43),"-",+N44/N43)</f>
        <v>0.49056603773584906</v>
      </c>
    </row>
    <row r="48" spans="1:14" ht="15" customHeight="1">
      <c r="B48" s="44">
        <v>412</v>
      </c>
      <c r="C48" s="48" t="str">
        <f>TEXT($B$1,"00")&amp;"."&amp;TEXT($B48,"000")&amp;"."&amp;TEXT('Campus Selector'!$J$9,"00")</f>
        <v>03.412.90</v>
      </c>
      <c r="D48" s="526"/>
      <c r="E48" s="243" t="s">
        <v>386</v>
      </c>
      <c r="F48" s="258">
        <v>9.4499294781382234E-2</v>
      </c>
      <c r="G48" s="79" t="s">
        <v>327</v>
      </c>
      <c r="H48" s="258">
        <v>9.1747572815533987E-2</v>
      </c>
      <c r="I48" s="79" t="s">
        <v>327</v>
      </c>
      <c r="J48" s="259">
        <v>9.580838323353294E-2</v>
      </c>
      <c r="K48" s="259" t="s">
        <v>327</v>
      </c>
      <c r="L48" s="427" t="s">
        <v>327</v>
      </c>
      <c r="M48" s="255" t="s">
        <v>327</v>
      </c>
      <c r="N48" s="255" t="s">
        <v>327</v>
      </c>
    </row>
    <row r="49" spans="2:14" ht="6" customHeight="1">
      <c r="C49" s="48"/>
      <c r="D49" s="526"/>
      <c r="E49" s="133"/>
      <c r="F49" s="192"/>
      <c r="G49" s="192"/>
      <c r="H49" s="192"/>
      <c r="I49" s="193"/>
      <c r="J49" s="193"/>
      <c r="K49" s="193"/>
      <c r="L49" s="103"/>
      <c r="M49" s="176"/>
      <c r="N49" s="177"/>
    </row>
    <row r="50" spans="2:14" ht="15" customHeight="1">
      <c r="C50" s="48"/>
      <c r="D50" s="526"/>
      <c r="E50" s="144" t="s">
        <v>385</v>
      </c>
      <c r="F50" s="181">
        <f>+F45/F$24</f>
        <v>0.51627906976744187</v>
      </c>
      <c r="G50" s="308" t="s">
        <v>327</v>
      </c>
      <c r="H50" s="181">
        <f>+H45/H$24</f>
        <v>0.53363228699551568</v>
      </c>
      <c r="I50" s="308" t="s">
        <v>327</v>
      </c>
      <c r="J50" s="182">
        <f>+J45/J$24</f>
        <v>0.50957854406130265</v>
      </c>
      <c r="K50" s="309" t="s">
        <v>327</v>
      </c>
      <c r="L50" s="428" t="s">
        <v>327</v>
      </c>
      <c r="M50" s="310">
        <f>IF(ISERROR(+M45/M$43),"-",+M45/M$43)</f>
        <v>0.50957854406130265</v>
      </c>
      <c r="N50" s="310">
        <f>IF(ISERROR(+N45/N$43),"-",+N45/N$43)</f>
        <v>0.50943396226415094</v>
      </c>
    </row>
    <row r="51" spans="2:14" ht="15" customHeight="1">
      <c r="B51" s="44">
        <v>413</v>
      </c>
      <c r="C51" s="48" t="str">
        <f>TEXT($B$1,"00")&amp;"."&amp;TEXT($B51,"000")&amp;"."&amp;TEXT('Campus Selector'!$J$9,"00")</f>
        <v>03.413.90</v>
      </c>
      <c r="D51" s="526"/>
      <c r="E51" s="243" t="s">
        <v>387</v>
      </c>
      <c r="F51" s="258">
        <v>0.1081335213916314</v>
      </c>
      <c r="G51" s="79" t="s">
        <v>327</v>
      </c>
      <c r="H51" s="258">
        <v>0.10339805825242719</v>
      </c>
      <c r="I51" s="79" t="s">
        <v>327</v>
      </c>
      <c r="J51" s="259">
        <v>0.10916628281897743</v>
      </c>
      <c r="K51" s="259" t="s">
        <v>327</v>
      </c>
      <c r="L51" s="427" t="s">
        <v>327</v>
      </c>
      <c r="M51" s="255" t="s">
        <v>327</v>
      </c>
      <c r="N51" s="255" t="s">
        <v>327</v>
      </c>
    </row>
    <row r="52" spans="2:14" ht="6.95" customHeight="1">
      <c r="C52" s="48"/>
      <c r="D52" s="526"/>
      <c r="E52" s="69"/>
      <c r="F52" s="70"/>
      <c r="G52" s="70"/>
      <c r="H52" s="70"/>
      <c r="I52" s="70"/>
      <c r="J52" s="70"/>
      <c r="K52" s="1"/>
      <c r="L52" s="1"/>
    </row>
    <row r="53" spans="2:14" ht="15" customHeight="1">
      <c r="C53" s="48"/>
      <c r="D53" s="526"/>
      <c r="E53" s="821" t="s">
        <v>345</v>
      </c>
      <c r="F53" s="821"/>
      <c r="G53" s="821"/>
      <c r="H53" s="821"/>
      <c r="I53" s="821"/>
      <c r="J53" s="821"/>
      <c r="K53" s="821"/>
      <c r="L53" s="821"/>
      <c r="M53" s="118"/>
      <c r="N53" s="118"/>
    </row>
    <row r="54" spans="2:14" ht="15" customHeight="1">
      <c r="C54" s="48"/>
      <c r="D54" s="526"/>
      <c r="E54" s="827" t="s">
        <v>506</v>
      </c>
      <c r="F54" s="827"/>
      <c r="G54" s="827"/>
      <c r="H54" s="827"/>
      <c r="I54" s="827"/>
      <c r="J54" s="827"/>
      <c r="K54" s="827"/>
      <c r="L54" s="827"/>
      <c r="M54" s="118"/>
      <c r="N54" s="118"/>
    </row>
    <row r="55" spans="2:14" ht="14.25" customHeight="1">
      <c r="C55" s="48"/>
      <c r="D55" s="526"/>
      <c r="E55" s="137"/>
      <c r="F55" s="137"/>
      <c r="G55" s="137"/>
      <c r="H55" s="137"/>
      <c r="I55" s="137"/>
      <c r="J55" s="118"/>
      <c r="K55" s="118"/>
      <c r="L55" s="118"/>
      <c r="M55" s="118"/>
      <c r="N55" s="118"/>
    </row>
    <row r="56" spans="2:14" ht="15" customHeight="1">
      <c r="C56" s="48"/>
      <c r="D56" s="526"/>
      <c r="E56" s="121" t="s">
        <v>260</v>
      </c>
      <c r="F56" s="122"/>
      <c r="G56" s="123"/>
      <c r="H56" s="122"/>
      <c r="I56" s="122"/>
      <c r="J56" s="122"/>
      <c r="K56" s="122"/>
      <c r="L56" s="123"/>
      <c r="M56" s="124"/>
      <c r="N56" s="124"/>
    </row>
    <row r="57" spans="2:14" ht="15" customHeight="1">
      <c r="C57" s="48"/>
      <c r="D57" s="526"/>
      <c r="E57" s="814"/>
      <c r="F57" s="814"/>
      <c r="G57" s="814"/>
      <c r="H57" s="814"/>
      <c r="I57" s="814"/>
      <c r="J57" s="814"/>
      <c r="K57" s="814"/>
      <c r="L57" s="814"/>
      <c r="M57" s="814"/>
      <c r="N57" s="814"/>
    </row>
    <row r="58" spans="2:14" ht="15" customHeight="1">
      <c r="C58" s="48"/>
      <c r="D58" s="526"/>
      <c r="E58" s="814"/>
      <c r="F58" s="814"/>
      <c r="G58" s="814"/>
      <c r="H58" s="814"/>
      <c r="I58" s="814"/>
      <c r="J58" s="814"/>
      <c r="K58" s="814"/>
      <c r="L58" s="814"/>
      <c r="M58" s="814"/>
      <c r="N58" s="814"/>
    </row>
  </sheetData>
  <mergeCells count="10">
    <mergeCell ref="R5:V5"/>
    <mergeCell ref="E57:N58"/>
    <mergeCell ref="E54:L54"/>
    <mergeCell ref="E5:N5"/>
    <mergeCell ref="E6:N6"/>
    <mergeCell ref="E9:N9"/>
    <mergeCell ref="E23:N23"/>
    <mergeCell ref="E42:N42"/>
    <mergeCell ref="E53:L53"/>
    <mergeCell ref="M24:N40"/>
  </mergeCells>
  <printOptions horizontalCentered="1"/>
  <pageMargins left="0.2" right="0.2" top="0.5" bottom="0.5" header="0.3" footer="0.3"/>
  <pageSetup scale="80" fitToWidth="0" orientation="landscape" horizontalDpi="300" verticalDpi="300" r:id="rId1"/>
  <headerFooter alignWithMargins="0">
    <oddFooter>&amp;LState University of New York System Administration&amp;R&amp;G</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V62"/>
  <sheetViews>
    <sheetView showGridLines="0" topLeftCell="D5" zoomScaleNormal="100" workbookViewId="0">
      <selection activeCell="T37" sqref="T37"/>
    </sheetView>
  </sheetViews>
  <sheetFormatPr defaultColWidth="9.140625" defaultRowHeight="15" customHeight="1"/>
  <cols>
    <col min="1" max="1" width="9.140625" style="32" hidden="1" customWidth="1"/>
    <col min="2" max="2" width="8" style="44" hidden="1" customWidth="1"/>
    <col min="3" max="3" width="16.5703125" style="32" hidden="1" customWidth="1"/>
    <col min="4" max="4" width="10" style="50" customWidth="1"/>
    <col min="5" max="5" width="34.7109375" style="1" customWidth="1"/>
    <col min="6" max="6" width="10" style="61" customWidth="1"/>
    <col min="7" max="15" width="10" style="53" customWidth="1"/>
    <col min="16" max="18" width="9.140625" style="1"/>
    <col min="19" max="19" width="12.140625" style="1" customWidth="1"/>
    <col min="20" max="16384" width="9.140625" style="1"/>
  </cols>
  <sheetData>
    <row r="1" spans="1:22" s="32" customFormat="1" ht="15" hidden="1" customHeight="1">
      <c r="A1" s="32" t="s">
        <v>254</v>
      </c>
      <c r="B1" s="44">
        <v>20</v>
      </c>
      <c r="F1" s="44">
        <v>21</v>
      </c>
      <c r="G1" s="44">
        <f>F1+1</f>
        <v>22</v>
      </c>
      <c r="H1" s="44">
        <f>G1+1</f>
        <v>23</v>
      </c>
      <c r="I1" s="44">
        <f>H1+1</f>
        <v>24</v>
      </c>
      <c r="J1" s="44">
        <f>I1+1</f>
        <v>25</v>
      </c>
      <c r="K1" s="44">
        <f>J1+1</f>
        <v>26</v>
      </c>
      <c r="L1" s="45"/>
      <c r="M1" s="44">
        <v>27</v>
      </c>
      <c r="N1" s="44">
        <f>M1+1</f>
        <v>28</v>
      </c>
      <c r="O1" s="44">
        <f>N1+1</f>
        <v>29</v>
      </c>
    </row>
    <row r="2" spans="1:22" s="32" customFormat="1" ht="15" hidden="1" customHeight="1">
      <c r="B2" s="44"/>
      <c r="F2" s="67"/>
      <c r="G2" s="44"/>
      <c r="H2" s="44"/>
      <c r="I2" s="44"/>
      <c r="J2" s="44"/>
      <c r="K2" s="44"/>
      <c r="L2" s="44"/>
      <c r="M2" s="44"/>
      <c r="N2" s="44"/>
      <c r="O2" s="44"/>
    </row>
    <row r="3" spans="1:22" s="32" customFormat="1" ht="15" hidden="1" customHeight="1">
      <c r="B3" s="44"/>
      <c r="E3" s="32" t="s">
        <v>511</v>
      </c>
      <c r="F3" s="67"/>
      <c r="G3" s="44"/>
      <c r="H3" s="44"/>
      <c r="I3" s="44"/>
      <c r="J3" s="44"/>
      <c r="K3" s="44"/>
      <c r="L3" s="44"/>
      <c r="M3" s="44"/>
      <c r="N3" s="44"/>
      <c r="O3" s="44"/>
    </row>
    <row r="4" spans="1:22" s="32" customFormat="1" ht="15" hidden="1" customHeight="1">
      <c r="B4" s="44"/>
      <c r="E4" s="32" t="s">
        <v>376</v>
      </c>
      <c r="F4" s="67">
        <v>19</v>
      </c>
      <c r="G4" s="44">
        <f>+G5+F4+1</f>
        <v>20</v>
      </c>
      <c r="H4" s="44">
        <f>+H5+G4+1</f>
        <v>21</v>
      </c>
      <c r="I4" s="44">
        <f>+I5+H4+1</f>
        <v>22</v>
      </c>
      <c r="J4" s="44">
        <f>+J5+I4+1</f>
        <v>23</v>
      </c>
      <c r="K4" s="44">
        <f>+K5+J4+1</f>
        <v>24</v>
      </c>
      <c r="L4" s="44"/>
      <c r="M4" s="44">
        <f>+K4+1</f>
        <v>25</v>
      </c>
      <c r="N4" s="44"/>
      <c r="O4" s="44"/>
    </row>
    <row r="5" spans="1:22" ht="15" customHeight="1">
      <c r="R5" s="813"/>
      <c r="S5" s="813"/>
      <c r="T5" s="813"/>
      <c r="U5" s="813"/>
      <c r="V5" s="813"/>
    </row>
    <row r="6" spans="1:22" ht="15" customHeight="1">
      <c r="E6" s="815" t="str">
        <f>"Attachment 2: Data Summary and Detail Tables - "&amp;'Campus Selector'!$G$3</f>
        <v>Attachment 2: Data Summary and Detail Tables - Canton</v>
      </c>
      <c r="F6" s="815"/>
      <c r="G6" s="815"/>
      <c r="H6" s="815"/>
      <c r="I6" s="815"/>
      <c r="J6" s="815"/>
      <c r="K6" s="815"/>
      <c r="L6" s="815"/>
      <c r="M6" s="815"/>
      <c r="N6" s="815"/>
      <c r="O6" s="815"/>
    </row>
    <row r="7" spans="1:22" ht="15" customHeight="1">
      <c r="D7" s="526"/>
      <c r="E7" s="816" t="s">
        <v>705</v>
      </c>
      <c r="F7" s="816"/>
      <c r="G7" s="816"/>
      <c r="H7" s="816"/>
      <c r="I7" s="816"/>
      <c r="J7" s="816"/>
      <c r="K7" s="816"/>
      <c r="L7" s="816"/>
      <c r="M7" s="816"/>
      <c r="N7" s="816"/>
      <c r="O7" s="816"/>
    </row>
    <row r="8" spans="1:22" ht="15" customHeight="1">
      <c r="B8" s="47"/>
      <c r="C8" s="48"/>
      <c r="D8" s="526"/>
    </row>
    <row r="9" spans="1:22" ht="43.5" customHeight="1">
      <c r="B9" s="47" t="s">
        <v>253</v>
      </c>
      <c r="C9" s="48"/>
      <c r="D9" s="526"/>
      <c r="E9" s="715" t="s">
        <v>465</v>
      </c>
      <c r="F9" s="98" t="s">
        <v>262</v>
      </c>
      <c r="G9" s="98" t="s">
        <v>263</v>
      </c>
      <c r="H9" s="98" t="s">
        <v>264</v>
      </c>
      <c r="I9" s="98" t="s">
        <v>265</v>
      </c>
      <c r="J9" s="98" t="s">
        <v>266</v>
      </c>
      <c r="K9" s="98" t="s">
        <v>267</v>
      </c>
      <c r="L9" s="98" t="s">
        <v>39</v>
      </c>
      <c r="M9" s="98" t="s">
        <v>437</v>
      </c>
      <c r="N9" s="98" t="s">
        <v>438</v>
      </c>
      <c r="O9" s="98" t="s">
        <v>439</v>
      </c>
    </row>
    <row r="10" spans="1:22" ht="15" customHeight="1">
      <c r="B10" s="47"/>
      <c r="C10" s="48"/>
      <c r="D10" s="526"/>
      <c r="E10" s="831" t="s">
        <v>671</v>
      </c>
      <c r="F10" s="832"/>
      <c r="G10" s="832"/>
      <c r="H10" s="832"/>
      <c r="I10" s="832"/>
      <c r="J10" s="832"/>
      <c r="K10" s="832"/>
      <c r="L10" s="832"/>
      <c r="M10" s="832"/>
      <c r="N10" s="832"/>
      <c r="O10" s="832"/>
    </row>
    <row r="11" spans="1:22" ht="15" customHeight="1">
      <c r="B11" s="47"/>
      <c r="C11" s="48"/>
      <c r="D11" s="526"/>
      <c r="E11" s="195" t="s">
        <v>287</v>
      </c>
      <c r="F11" s="98">
        <v>2008</v>
      </c>
      <c r="G11" s="98">
        <v>2009</v>
      </c>
      <c r="H11" s="98">
        <v>2010</v>
      </c>
      <c r="I11" s="98">
        <v>2011</v>
      </c>
      <c r="J11" s="98">
        <v>2012</v>
      </c>
      <c r="K11" s="98">
        <v>2013</v>
      </c>
      <c r="L11" s="401"/>
      <c r="M11" s="98">
        <v>2014</v>
      </c>
      <c r="N11" s="98">
        <v>2017</v>
      </c>
      <c r="O11" s="98">
        <v>2019</v>
      </c>
    </row>
    <row r="12" spans="1:22" ht="15" customHeight="1">
      <c r="B12" s="44">
        <v>134</v>
      </c>
      <c r="C12" s="48" t="str">
        <f>TEXT($B$1,"00")&amp;"."&amp;TEXT($B12,"000")&amp;"."&amp;TEXT('Campus Selector'!$G$6,"00")</f>
        <v>20.134.25</v>
      </c>
      <c r="D12" s="526"/>
      <c r="E12" s="92" t="s">
        <v>426</v>
      </c>
      <c r="F12" s="135">
        <v>741</v>
      </c>
      <c r="G12" s="135">
        <v>754</v>
      </c>
      <c r="H12" s="135">
        <v>642</v>
      </c>
      <c r="I12" s="135">
        <v>684</v>
      </c>
      <c r="J12" s="135">
        <v>639</v>
      </c>
      <c r="K12" s="135">
        <v>550</v>
      </c>
      <c r="L12" s="77">
        <f>IF(ISERROR((+K12-F12)/F12),"-",(+K12-F12)/F12)</f>
        <v>-0.25775978407557354</v>
      </c>
      <c r="M12" s="281">
        <v>726</v>
      </c>
      <c r="N12" s="742">
        <v>715</v>
      </c>
      <c r="O12" s="300">
        <v>774</v>
      </c>
    </row>
    <row r="13" spans="1:22" ht="15" customHeight="1">
      <c r="B13" s="44">
        <v>135</v>
      </c>
      <c r="C13" s="48" t="str">
        <f>TEXT($B$1,"00")&amp;"."&amp;TEXT($B13,"000")&amp;"."&amp;TEXT('Campus Selector'!$G$6,"00")</f>
        <v>20.135.25</v>
      </c>
      <c r="D13" s="526"/>
      <c r="E13" s="179" t="s">
        <v>428</v>
      </c>
      <c r="F13" s="287">
        <v>0.53600000000000003</v>
      </c>
      <c r="G13" s="287">
        <v>0.52700000000000002</v>
      </c>
      <c r="H13" s="287">
        <v>0.62</v>
      </c>
      <c r="I13" s="287">
        <v>0.56399999999999995</v>
      </c>
      <c r="J13" s="287">
        <v>0.64</v>
      </c>
      <c r="K13" s="287">
        <v>0.66400000000000003</v>
      </c>
      <c r="L13" s="292" t="s">
        <v>327</v>
      </c>
      <c r="M13" s="548">
        <v>0.629</v>
      </c>
      <c r="N13" s="788">
        <v>0.71</v>
      </c>
      <c r="O13" s="324">
        <v>0.73</v>
      </c>
    </row>
    <row r="14" spans="1:22" ht="15" customHeight="1">
      <c r="B14" s="44">
        <v>135</v>
      </c>
      <c r="C14" s="48" t="str">
        <f>TEXT($B$1,"00")&amp;"."&amp;TEXT($B14,"000")&amp;"."&amp;TEXT('Campus Selector'!$J$9,"00")</f>
        <v>20.135.90</v>
      </c>
      <c r="D14" s="526"/>
      <c r="E14" s="243" t="s">
        <v>429</v>
      </c>
      <c r="F14" s="359">
        <v>0.628</v>
      </c>
      <c r="G14" s="359">
        <v>0.625</v>
      </c>
      <c r="H14" s="359">
        <v>0.64200000000000002</v>
      </c>
      <c r="I14" s="359">
        <v>0.64800000000000002</v>
      </c>
      <c r="J14" s="359">
        <v>0.66299999999999992</v>
      </c>
      <c r="K14" s="359">
        <v>0.70400000000000007</v>
      </c>
      <c r="L14" s="255" t="s">
        <v>327</v>
      </c>
      <c r="M14" s="255" t="s">
        <v>327</v>
      </c>
      <c r="N14" s="400" t="s">
        <v>327</v>
      </c>
      <c r="O14" s="400" t="s">
        <v>327</v>
      </c>
    </row>
    <row r="15" spans="1:22" ht="15" customHeight="1">
      <c r="B15" s="44">
        <v>362</v>
      </c>
      <c r="C15" s="48" t="str">
        <f>$B$1&amp;"."&amp;$B15&amp;"."&amp;LEFT('Campus Selector'!$G$8,1)&amp;"-yr public"</f>
        <v>20.362.4-yr public</v>
      </c>
      <c r="D15" s="526"/>
      <c r="E15" s="243" t="s">
        <v>430</v>
      </c>
      <c r="F15" s="359">
        <v>0.78632375866955639</v>
      </c>
      <c r="G15" s="359">
        <v>0.7945686404475496</v>
      </c>
      <c r="H15" s="359">
        <v>0.79336370919925447</v>
      </c>
      <c r="I15" s="359">
        <v>0.79206458394440971</v>
      </c>
      <c r="J15" s="399" t="s">
        <v>187</v>
      </c>
      <c r="K15" s="399" t="s">
        <v>187</v>
      </c>
      <c r="L15" s="255" t="s">
        <v>327</v>
      </c>
      <c r="M15" s="399" t="s">
        <v>327</v>
      </c>
      <c r="N15" s="400" t="s">
        <v>327</v>
      </c>
      <c r="O15" s="400" t="s">
        <v>327</v>
      </c>
    </row>
    <row r="16" spans="1:22" ht="8.25" customHeight="1">
      <c r="C16" s="48"/>
      <c r="D16" s="526"/>
      <c r="E16" s="137"/>
      <c r="F16" s="137"/>
      <c r="G16" s="137"/>
      <c r="H16" s="137"/>
      <c r="I16" s="137"/>
      <c r="J16" s="118"/>
      <c r="K16" s="118"/>
      <c r="L16" s="118"/>
      <c r="M16" s="118"/>
      <c r="N16" s="118"/>
      <c r="O16" s="118"/>
    </row>
    <row r="17" spans="2:21" ht="15" customHeight="1">
      <c r="B17" s="47"/>
      <c r="C17" s="48"/>
      <c r="D17" s="526"/>
      <c r="E17" s="831" t="s">
        <v>670</v>
      </c>
      <c r="F17" s="832"/>
      <c r="G17" s="832"/>
      <c r="H17" s="832"/>
      <c r="I17" s="832"/>
      <c r="J17" s="832"/>
      <c r="K17" s="832"/>
      <c r="L17" s="832"/>
      <c r="M17" s="832"/>
      <c r="N17" s="832"/>
      <c r="O17" s="832"/>
    </row>
    <row r="18" spans="2:21" ht="15" customHeight="1">
      <c r="B18" s="47"/>
      <c r="C18" s="48"/>
      <c r="D18" s="526"/>
      <c r="E18" s="195" t="s">
        <v>287</v>
      </c>
      <c r="F18" s="98">
        <v>2008</v>
      </c>
      <c r="G18" s="98">
        <v>2009</v>
      </c>
      <c r="H18" s="98">
        <v>2010</v>
      </c>
      <c r="I18" s="98">
        <v>2011</v>
      </c>
      <c r="J18" s="98">
        <v>2012</v>
      </c>
      <c r="K18" s="98">
        <v>2013</v>
      </c>
      <c r="L18" s="401"/>
      <c r="M18" s="98">
        <v>2014</v>
      </c>
      <c r="N18" s="98">
        <v>2017</v>
      </c>
      <c r="O18" s="98">
        <v>2019</v>
      </c>
    </row>
    <row r="19" spans="2:21" ht="15" customHeight="1">
      <c r="B19" s="44">
        <v>425</v>
      </c>
      <c r="C19" s="48" t="str">
        <f>TEXT($B$1,"00")&amp;"."&amp;TEXT($B19,"000")&amp;"."&amp;TEXT('Campus Selector'!$G$6,"00")</f>
        <v>20.425.25</v>
      </c>
      <c r="D19" s="526"/>
      <c r="E19" s="92" t="s">
        <v>672</v>
      </c>
      <c r="F19" s="135">
        <v>17</v>
      </c>
      <c r="G19" s="135">
        <v>6</v>
      </c>
      <c r="H19" s="135">
        <v>4</v>
      </c>
      <c r="I19" s="135">
        <v>3</v>
      </c>
      <c r="J19" s="135">
        <v>7</v>
      </c>
      <c r="K19" s="135">
        <v>6</v>
      </c>
      <c r="L19" s="77">
        <f>IF(ISERROR((+K19-F19)/F19),"-",(+K19-F19)/F19)</f>
        <v>-0.6470588235294118</v>
      </c>
      <c r="M19" s="281">
        <v>7</v>
      </c>
      <c r="N19" s="260">
        <v>10</v>
      </c>
      <c r="O19" s="261">
        <v>10</v>
      </c>
    </row>
    <row r="20" spans="2:21" ht="15" customHeight="1">
      <c r="B20" s="44">
        <v>426</v>
      </c>
      <c r="C20" s="48" t="str">
        <f>TEXT($B$1,"00")&amp;"."&amp;TEXT($B20,"000")&amp;"."&amp;TEXT('Campus Selector'!$G$6,"00")</f>
        <v>20.426.25</v>
      </c>
      <c r="D20" s="526"/>
      <c r="E20" s="179" t="s">
        <v>428</v>
      </c>
      <c r="F20" s="287">
        <v>0.35299999999999998</v>
      </c>
      <c r="G20" s="287">
        <v>0.33299999999999996</v>
      </c>
      <c r="H20" s="287">
        <v>0.75</v>
      </c>
      <c r="I20" s="287">
        <v>0.33299999999999996</v>
      </c>
      <c r="J20" s="287">
        <v>0.57100000000000006</v>
      </c>
      <c r="K20" s="287">
        <v>0.33299999999999996</v>
      </c>
      <c r="L20" s="292" t="s">
        <v>327</v>
      </c>
      <c r="M20" s="548">
        <v>0.85699999999999998</v>
      </c>
      <c r="N20" s="788">
        <v>0.5</v>
      </c>
      <c r="O20" s="324">
        <v>0.5</v>
      </c>
    </row>
    <row r="21" spans="2:21" ht="15" customHeight="1">
      <c r="B21" s="44">
        <v>426</v>
      </c>
      <c r="C21" s="48" t="str">
        <f>TEXT($B$1,"00")&amp;"."&amp;TEXT($B21,"000")&amp;"."&amp;TEXT('Campus Selector'!$J$9,"00")</f>
        <v>20.426.90</v>
      </c>
      <c r="D21" s="526"/>
      <c r="E21" s="243" t="s">
        <v>429</v>
      </c>
      <c r="F21" s="359">
        <v>0.495</v>
      </c>
      <c r="G21" s="359">
        <v>0.45500000000000002</v>
      </c>
      <c r="H21" s="359">
        <v>0.35700000000000004</v>
      </c>
      <c r="I21" s="359">
        <v>0.39100000000000001</v>
      </c>
      <c r="J21" s="359">
        <v>0.45700000000000002</v>
      </c>
      <c r="K21" s="359">
        <v>0.38600000000000001</v>
      </c>
      <c r="L21" s="255" t="s">
        <v>327</v>
      </c>
      <c r="M21" s="255" t="s">
        <v>327</v>
      </c>
      <c r="N21" s="400" t="s">
        <v>327</v>
      </c>
      <c r="O21" s="400" t="s">
        <v>327</v>
      </c>
    </row>
    <row r="22" spans="2:21" ht="15" customHeight="1">
      <c r="B22" s="44">
        <v>426</v>
      </c>
      <c r="C22" s="48" t="str">
        <f>$B$1&amp;"."&amp;$B22&amp;"."&amp;LEFT('Campus Selector'!$G$8,1)&amp;"-yr public"</f>
        <v>20.426.4-yr public</v>
      </c>
      <c r="D22" s="526"/>
      <c r="E22" s="243" t="s">
        <v>430</v>
      </c>
      <c r="F22" s="359">
        <v>0.499</v>
      </c>
      <c r="G22" s="359">
        <v>0.5</v>
      </c>
      <c r="H22" s="359">
        <v>0.51300000000000001</v>
      </c>
      <c r="I22" s="359">
        <v>0.498</v>
      </c>
      <c r="J22" s="399" t="s">
        <v>187</v>
      </c>
      <c r="K22" s="399" t="s">
        <v>187</v>
      </c>
      <c r="L22" s="255" t="s">
        <v>327</v>
      </c>
      <c r="M22" s="399" t="s">
        <v>327</v>
      </c>
      <c r="N22" s="400" t="s">
        <v>327</v>
      </c>
      <c r="O22" s="400" t="s">
        <v>327</v>
      </c>
    </row>
    <row r="23" spans="2:21" ht="8.25" customHeight="1">
      <c r="C23" s="48"/>
      <c r="D23" s="526"/>
      <c r="E23" s="137"/>
      <c r="F23" s="137"/>
      <c r="G23" s="137"/>
      <c r="H23" s="137"/>
      <c r="I23" s="137"/>
      <c r="J23" s="118"/>
      <c r="K23" s="118"/>
      <c r="L23" s="118"/>
      <c r="M23" s="118"/>
      <c r="N23" s="118"/>
      <c r="O23" s="118"/>
    </row>
    <row r="24" spans="2:21" ht="15" customHeight="1">
      <c r="B24" s="47"/>
      <c r="C24" s="48"/>
      <c r="D24" s="526"/>
      <c r="E24" s="831" t="s">
        <v>673</v>
      </c>
      <c r="F24" s="832"/>
      <c r="G24" s="832"/>
      <c r="H24" s="832"/>
      <c r="I24" s="832"/>
      <c r="J24" s="832"/>
      <c r="K24" s="832"/>
      <c r="L24" s="832"/>
      <c r="M24" s="832"/>
      <c r="N24" s="832"/>
      <c r="O24" s="833"/>
    </row>
    <row r="25" spans="2:21" ht="15" customHeight="1">
      <c r="B25" s="47"/>
      <c r="C25" s="48"/>
      <c r="D25" s="526"/>
      <c r="E25" s="195" t="s">
        <v>287</v>
      </c>
      <c r="F25" s="98">
        <v>2008</v>
      </c>
      <c r="G25" s="98">
        <v>2009</v>
      </c>
      <c r="H25" s="98">
        <v>2010</v>
      </c>
      <c r="I25" s="98">
        <v>2011</v>
      </c>
      <c r="J25" s="98">
        <v>2012</v>
      </c>
      <c r="K25" s="98">
        <v>2013</v>
      </c>
      <c r="L25" s="401"/>
      <c r="M25" s="98">
        <v>2014</v>
      </c>
      <c r="N25" s="98">
        <v>2017</v>
      </c>
      <c r="O25" s="98">
        <v>2019</v>
      </c>
    </row>
    <row r="26" spans="2:21" ht="15" customHeight="1">
      <c r="B26" s="44">
        <v>142</v>
      </c>
      <c r="C26" s="48" t="str">
        <f>TEXT($B$1,"00")&amp;"."&amp;TEXT($B26,"000")&amp;"."&amp;TEXT('Campus Selector'!$G$6,"00")</f>
        <v>20.142.25</v>
      </c>
      <c r="D26" s="526"/>
      <c r="E26" s="92" t="s">
        <v>427</v>
      </c>
      <c r="F26" s="196">
        <v>193</v>
      </c>
      <c r="G26" s="196">
        <v>173</v>
      </c>
      <c r="H26" s="196">
        <v>212</v>
      </c>
      <c r="I26" s="196">
        <v>268</v>
      </c>
      <c r="J26" s="196">
        <v>246</v>
      </c>
      <c r="K26" s="196">
        <v>203</v>
      </c>
      <c r="L26" s="100">
        <f>(+K26-F26)/F26</f>
        <v>5.181347150259067E-2</v>
      </c>
      <c r="M26" s="281">
        <v>248</v>
      </c>
      <c r="N26" s="260">
        <v>272</v>
      </c>
      <c r="O26" s="261">
        <v>294</v>
      </c>
    </row>
    <row r="27" spans="2:21" ht="15" customHeight="1">
      <c r="B27" s="44">
        <v>143</v>
      </c>
      <c r="C27" s="48" t="str">
        <f>TEXT($B$1,"00")&amp;"."&amp;TEXT($B27,"000")&amp;"."&amp;TEXT('Campus Selector'!$G$6,"00")</f>
        <v>20.143.25</v>
      </c>
      <c r="D27" s="526"/>
      <c r="E27" s="179" t="s">
        <v>428</v>
      </c>
      <c r="F27" s="287">
        <v>0.622</v>
      </c>
      <c r="G27" s="287">
        <v>0.7340000000000001</v>
      </c>
      <c r="H27" s="287">
        <v>0.67900000000000005</v>
      </c>
      <c r="I27" s="287">
        <v>0.73099999999999998</v>
      </c>
      <c r="J27" s="287">
        <v>0.72400000000000009</v>
      </c>
      <c r="K27" s="287">
        <v>0.68</v>
      </c>
      <c r="L27" s="292" t="s">
        <v>327</v>
      </c>
      <c r="M27" s="548">
        <v>0.76200000000000001</v>
      </c>
      <c r="N27" s="788">
        <v>0.75</v>
      </c>
      <c r="O27" s="324">
        <v>0.78</v>
      </c>
    </row>
    <row r="28" spans="2:21" ht="15" customHeight="1">
      <c r="B28" s="44">
        <v>143</v>
      </c>
      <c r="C28" s="48" t="str">
        <f>TEXT($B$1,"00")&amp;"."&amp;TEXT($B28,"000")&amp;"."&amp;TEXT('Campus Selector'!$J$9,"00")</f>
        <v>20.143.90</v>
      </c>
      <c r="D28" s="526"/>
      <c r="E28" s="243" t="s">
        <v>429</v>
      </c>
      <c r="F28" s="359">
        <v>0.69400000000000006</v>
      </c>
      <c r="G28" s="359">
        <v>0.70900000000000007</v>
      </c>
      <c r="H28" s="359">
        <v>0.71599999999999997</v>
      </c>
      <c r="I28" s="359">
        <v>0.73099999999999998</v>
      </c>
      <c r="J28" s="359">
        <v>0.7390000000000001</v>
      </c>
      <c r="K28" s="359">
        <v>0.76800000000000002</v>
      </c>
      <c r="L28" s="427" t="s">
        <v>327</v>
      </c>
      <c r="M28" s="427" t="s">
        <v>327</v>
      </c>
      <c r="N28" s="402" t="s">
        <v>327</v>
      </c>
      <c r="O28" s="402" t="s">
        <v>327</v>
      </c>
    </row>
    <row r="29" spans="2:21" ht="6.95" customHeight="1">
      <c r="C29" s="48"/>
      <c r="D29" s="526"/>
      <c r="E29" s="69"/>
      <c r="F29" s="70"/>
      <c r="G29" s="70"/>
      <c r="H29" s="70"/>
      <c r="I29" s="70"/>
      <c r="J29" s="70"/>
      <c r="K29" s="1"/>
      <c r="L29" s="1"/>
      <c r="M29" s="1"/>
      <c r="N29" s="1"/>
      <c r="O29" s="1"/>
    </row>
    <row r="30" spans="2:21" ht="30.75" customHeight="1">
      <c r="C30" s="48"/>
      <c r="D30" s="526"/>
      <c r="E30" s="844" t="s">
        <v>501</v>
      </c>
      <c r="F30" s="844"/>
      <c r="G30" s="844"/>
      <c r="H30" s="844"/>
      <c r="I30" s="844"/>
      <c r="J30" s="844"/>
      <c r="K30" s="844"/>
      <c r="L30" s="844"/>
      <c r="M30" s="844"/>
      <c r="N30" s="844"/>
      <c r="O30" s="844"/>
      <c r="S30" s="651"/>
      <c r="T30" s="651"/>
      <c r="U30" s="651"/>
    </row>
    <row r="31" spans="2:21" ht="15" customHeight="1">
      <c r="C31" s="48"/>
      <c r="D31" s="526"/>
      <c r="E31" s="827"/>
      <c r="F31" s="827"/>
      <c r="G31" s="827"/>
      <c r="H31" s="827"/>
      <c r="I31" s="827"/>
      <c r="J31" s="827"/>
      <c r="K31" s="827"/>
      <c r="L31" s="827"/>
      <c r="M31" s="704"/>
      <c r="N31" s="118"/>
      <c r="O31" s="118"/>
    </row>
    <row r="32" spans="2:21" ht="15" customHeight="1">
      <c r="C32" s="48"/>
      <c r="D32" s="526"/>
      <c r="E32" s="121" t="s">
        <v>260</v>
      </c>
      <c r="F32" s="123"/>
      <c r="G32" s="122"/>
      <c r="H32" s="122"/>
      <c r="I32" s="122"/>
      <c r="J32" s="123"/>
      <c r="K32" s="123"/>
      <c r="L32" s="124"/>
      <c r="M32" s="124"/>
      <c r="N32" s="124"/>
      <c r="O32" s="124"/>
    </row>
    <row r="33" spans="3:15" ht="15" customHeight="1">
      <c r="C33" s="48"/>
      <c r="D33" s="526"/>
      <c r="E33" s="814"/>
      <c r="F33" s="814"/>
      <c r="G33" s="814"/>
      <c r="H33" s="814"/>
      <c r="I33" s="814"/>
      <c r="J33" s="814"/>
      <c r="K33" s="814"/>
      <c r="L33" s="814"/>
      <c r="M33" s="814"/>
      <c r="N33" s="814"/>
      <c r="O33" s="814"/>
    </row>
    <row r="34" spans="3:15" ht="15" customHeight="1">
      <c r="C34" s="48"/>
      <c r="D34" s="526"/>
      <c r="E34" s="814"/>
      <c r="F34" s="814"/>
      <c r="G34" s="814"/>
      <c r="H34" s="814"/>
      <c r="I34" s="814"/>
      <c r="J34" s="814"/>
      <c r="K34" s="814"/>
      <c r="L34" s="814"/>
      <c r="M34" s="814"/>
      <c r="N34" s="814"/>
      <c r="O34" s="814"/>
    </row>
    <row r="35" spans="3:15" ht="15" customHeight="1">
      <c r="D35" s="526"/>
    </row>
    <row r="36" spans="3:15" ht="15" customHeight="1">
      <c r="D36" s="526"/>
    </row>
    <row r="37" spans="3:15" ht="15" customHeight="1">
      <c r="D37" s="526"/>
    </row>
    <row r="38" spans="3:15" ht="15" customHeight="1">
      <c r="D38" s="526"/>
    </row>
    <row r="39" spans="3:15" ht="15" customHeight="1">
      <c r="D39" s="526"/>
    </row>
    <row r="40" spans="3:15" ht="15" customHeight="1">
      <c r="D40" s="526"/>
    </row>
    <row r="41" spans="3:15" ht="15" customHeight="1">
      <c r="D41" s="526"/>
    </row>
    <row r="42" spans="3:15" ht="15" customHeight="1">
      <c r="D42" s="526"/>
    </row>
    <row r="43" spans="3:15" ht="15" customHeight="1">
      <c r="D43" s="526"/>
    </row>
    <row r="44" spans="3:15" ht="15" customHeight="1">
      <c r="D44" s="526"/>
    </row>
    <row r="45" spans="3:15" ht="15" customHeight="1">
      <c r="D45" s="526"/>
    </row>
    <row r="46" spans="3:15" ht="15" customHeight="1">
      <c r="D46" s="526"/>
    </row>
    <row r="47" spans="3:15" ht="15" customHeight="1">
      <c r="D47" s="526"/>
    </row>
    <row r="48" spans="3:15" ht="15" customHeight="1">
      <c r="D48" s="526"/>
    </row>
    <row r="49" spans="4:4" ht="15" customHeight="1">
      <c r="D49" s="526"/>
    </row>
    <row r="50" spans="4:4" ht="15" customHeight="1">
      <c r="D50" s="526"/>
    </row>
    <row r="51" spans="4:4" ht="15" customHeight="1">
      <c r="D51" s="526"/>
    </row>
    <row r="52" spans="4:4" ht="15" customHeight="1">
      <c r="D52" s="526"/>
    </row>
    <row r="53" spans="4:4" ht="15" customHeight="1">
      <c r="D53" s="526"/>
    </row>
    <row r="54" spans="4:4" ht="15" customHeight="1">
      <c r="D54" s="526"/>
    </row>
    <row r="55" spans="4:4" ht="15" customHeight="1">
      <c r="D55" s="526"/>
    </row>
    <row r="56" spans="4:4" ht="15" customHeight="1">
      <c r="D56" s="526"/>
    </row>
    <row r="57" spans="4:4" ht="15" customHeight="1">
      <c r="D57" s="526"/>
    </row>
    <row r="58" spans="4:4" ht="15" customHeight="1">
      <c r="D58" s="526"/>
    </row>
    <row r="59" spans="4:4" ht="15" customHeight="1">
      <c r="D59" s="526"/>
    </row>
    <row r="60" spans="4:4" ht="15" customHeight="1">
      <c r="D60" s="526"/>
    </row>
    <row r="61" spans="4:4" ht="15" customHeight="1">
      <c r="D61" s="526"/>
    </row>
    <row r="62" spans="4:4" ht="15" customHeight="1">
      <c r="D62" s="526"/>
    </row>
  </sheetData>
  <mergeCells count="9">
    <mergeCell ref="R5:V5"/>
    <mergeCell ref="E33:O34"/>
    <mergeCell ref="E31:L31"/>
    <mergeCell ref="E6:O6"/>
    <mergeCell ref="E7:O7"/>
    <mergeCell ref="E10:O10"/>
    <mergeCell ref="E30:O30"/>
    <mergeCell ref="E24:O24"/>
    <mergeCell ref="E17:O17"/>
  </mergeCells>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V49"/>
  <sheetViews>
    <sheetView showGridLines="0" topLeftCell="D6" zoomScaleNormal="100" workbookViewId="0">
      <selection activeCell="T40" sqref="T40"/>
    </sheetView>
  </sheetViews>
  <sheetFormatPr defaultColWidth="9.140625" defaultRowHeight="15" customHeight="1"/>
  <cols>
    <col min="1" max="1" width="9.140625" style="32" hidden="1" customWidth="1"/>
    <col min="2" max="2" width="8" style="44" hidden="1" customWidth="1"/>
    <col min="3" max="3" width="17.7109375" style="32" hidden="1" customWidth="1"/>
    <col min="4" max="4" width="10" style="50" customWidth="1"/>
    <col min="5" max="5" width="32.85546875" style="1" customWidth="1"/>
    <col min="6" max="6" width="10" style="1" customWidth="1"/>
    <col min="7" max="7" width="10" style="61" customWidth="1"/>
    <col min="8" max="16" width="10" style="53" customWidth="1"/>
    <col min="17" max="16384" width="9.140625" style="1"/>
  </cols>
  <sheetData>
    <row r="1" spans="1:22" s="32" customFormat="1" ht="15" hidden="1" customHeight="1">
      <c r="A1" s="32" t="s">
        <v>254</v>
      </c>
      <c r="B1" s="44">
        <v>9</v>
      </c>
      <c r="E1" s="32" t="s">
        <v>321</v>
      </c>
      <c r="F1" s="44">
        <v>18</v>
      </c>
      <c r="G1" s="44">
        <f t="shared" ref="G1:K2" si="0">F1+1</f>
        <v>19</v>
      </c>
      <c r="H1" s="44">
        <f t="shared" si="0"/>
        <v>20</v>
      </c>
      <c r="I1" s="44">
        <f t="shared" si="0"/>
        <v>21</v>
      </c>
      <c r="J1" s="44">
        <f t="shared" si="0"/>
        <v>22</v>
      </c>
      <c r="K1" s="44">
        <f t="shared" si="0"/>
        <v>23</v>
      </c>
      <c r="L1" s="45"/>
      <c r="M1" s="44">
        <f>+K1+1</f>
        <v>24</v>
      </c>
      <c r="N1" s="45">
        <v>24</v>
      </c>
      <c r="O1" s="32">
        <v>27</v>
      </c>
      <c r="P1" s="32">
        <f>O1+1</f>
        <v>28</v>
      </c>
    </row>
    <row r="2" spans="1:22" s="32" customFormat="1" ht="15" hidden="1" customHeight="1">
      <c r="B2" s="44"/>
      <c r="E2" s="32" t="s">
        <v>322</v>
      </c>
      <c r="F2" s="44">
        <v>16</v>
      </c>
      <c r="G2" s="44">
        <f t="shared" si="0"/>
        <v>17</v>
      </c>
      <c r="H2" s="44">
        <f t="shared" si="0"/>
        <v>18</v>
      </c>
      <c r="I2" s="44">
        <f t="shared" si="0"/>
        <v>19</v>
      </c>
      <c r="J2" s="44">
        <f t="shared" si="0"/>
        <v>20</v>
      </c>
      <c r="K2" s="44">
        <f t="shared" si="0"/>
        <v>21</v>
      </c>
      <c r="L2" s="45"/>
      <c r="M2" s="44">
        <f>+K2+1</f>
        <v>22</v>
      </c>
      <c r="N2" s="45">
        <v>22</v>
      </c>
      <c r="O2" s="32">
        <v>25</v>
      </c>
      <c r="P2" s="32">
        <v>27</v>
      </c>
    </row>
    <row r="3" spans="1:22" s="32" customFormat="1" ht="15" hidden="1" customHeight="1">
      <c r="B3" s="44"/>
      <c r="E3" s="32" t="s">
        <v>568</v>
      </c>
      <c r="F3" s="44"/>
      <c r="G3" s="44"/>
      <c r="H3" s="44"/>
      <c r="I3" s="44"/>
      <c r="J3" s="44"/>
      <c r="K3" s="44"/>
      <c r="L3" s="45"/>
      <c r="M3" s="44"/>
      <c r="N3" s="45">
        <v>28</v>
      </c>
    </row>
    <row r="4" spans="1:22" s="32" customFormat="1" ht="15" hidden="1" customHeight="1">
      <c r="B4" s="44"/>
      <c r="E4" s="32" t="s">
        <v>490</v>
      </c>
      <c r="F4" s="44">
        <v>16</v>
      </c>
      <c r="G4" s="44">
        <f t="shared" ref="G4:K5" si="1">+F4+1</f>
        <v>17</v>
      </c>
      <c r="H4" s="44">
        <f t="shared" si="1"/>
        <v>18</v>
      </c>
      <c r="I4" s="44">
        <f t="shared" si="1"/>
        <v>19</v>
      </c>
      <c r="J4" s="44">
        <f t="shared" si="1"/>
        <v>20</v>
      </c>
      <c r="K4" s="44">
        <f t="shared" si="1"/>
        <v>21</v>
      </c>
      <c r="L4" s="44"/>
      <c r="M4" s="44">
        <f>+K4+1</f>
        <v>22</v>
      </c>
      <c r="N4" s="32">
        <f t="shared" ref="N4:P5" si="2">+M4+1</f>
        <v>23</v>
      </c>
      <c r="O4" s="32">
        <f t="shared" si="2"/>
        <v>24</v>
      </c>
      <c r="P4" s="32">
        <f t="shared" si="2"/>
        <v>25</v>
      </c>
    </row>
    <row r="5" spans="1:22" s="32" customFormat="1" ht="15" hidden="1" customHeight="1">
      <c r="B5" s="44"/>
      <c r="E5" s="32" t="s">
        <v>491</v>
      </c>
      <c r="F5" s="44">
        <v>14</v>
      </c>
      <c r="G5" s="44">
        <f t="shared" si="1"/>
        <v>15</v>
      </c>
      <c r="H5" s="44">
        <f t="shared" si="1"/>
        <v>16</v>
      </c>
      <c r="I5" s="44">
        <f t="shared" si="1"/>
        <v>17</v>
      </c>
      <c r="J5" s="44">
        <f t="shared" si="1"/>
        <v>18</v>
      </c>
      <c r="K5" s="44">
        <f t="shared" si="1"/>
        <v>19</v>
      </c>
      <c r="L5" s="44"/>
      <c r="M5" s="44">
        <f>+K5+1</f>
        <v>20</v>
      </c>
      <c r="N5" s="32">
        <f t="shared" si="2"/>
        <v>21</v>
      </c>
      <c r="O5" s="32">
        <f t="shared" si="2"/>
        <v>22</v>
      </c>
      <c r="P5" s="32">
        <f t="shared" si="2"/>
        <v>23</v>
      </c>
      <c r="R5" s="845"/>
      <c r="S5" s="845"/>
      <c r="T5" s="845"/>
      <c r="U5" s="845"/>
      <c r="V5" s="845"/>
    </row>
    <row r="7" spans="1:22" ht="15" customHeight="1">
      <c r="D7" s="526"/>
      <c r="E7" s="815" t="str">
        <f>"Attachment 2: Data Summary and Detail Tables - "&amp;'Campus Selector'!$G$3</f>
        <v>Attachment 2: Data Summary and Detail Tables - Canton</v>
      </c>
      <c r="F7" s="815"/>
      <c r="G7" s="815"/>
      <c r="H7" s="815"/>
      <c r="I7" s="815"/>
      <c r="J7" s="815"/>
      <c r="K7" s="815"/>
      <c r="L7" s="815"/>
      <c r="M7" s="815"/>
      <c r="N7" s="815"/>
      <c r="O7" s="815"/>
      <c r="P7" s="815"/>
    </row>
    <row r="8" spans="1:22" ht="15" customHeight="1">
      <c r="D8" s="526"/>
      <c r="E8" s="816" t="s">
        <v>507</v>
      </c>
      <c r="F8" s="816"/>
      <c r="G8" s="816"/>
      <c r="H8" s="816"/>
      <c r="I8" s="816"/>
      <c r="J8" s="816"/>
      <c r="K8" s="816"/>
      <c r="L8" s="816"/>
      <c r="M8" s="816"/>
      <c r="N8" s="816"/>
      <c r="O8" s="816"/>
      <c r="P8" s="816"/>
    </row>
    <row r="9" spans="1:22" ht="15" customHeight="1">
      <c r="B9" s="47"/>
      <c r="C9" s="48"/>
      <c r="D9" s="526"/>
    </row>
    <row r="10" spans="1:22" ht="43.5" customHeight="1">
      <c r="B10" s="47" t="s">
        <v>253</v>
      </c>
      <c r="C10" s="48"/>
      <c r="D10" s="526"/>
      <c r="E10" s="715" t="s">
        <v>466</v>
      </c>
      <c r="F10" s="98" t="s">
        <v>262</v>
      </c>
      <c r="G10" s="98" t="s">
        <v>263</v>
      </c>
      <c r="H10" s="98" t="s">
        <v>264</v>
      </c>
      <c r="I10" s="98" t="s">
        <v>265</v>
      </c>
      <c r="J10" s="98" t="s">
        <v>266</v>
      </c>
      <c r="K10" s="98" t="s">
        <v>267</v>
      </c>
      <c r="L10" s="98" t="s">
        <v>39</v>
      </c>
      <c r="M10" s="98" t="s">
        <v>493</v>
      </c>
      <c r="N10" s="98" t="s">
        <v>437</v>
      </c>
      <c r="O10" s="98" t="s">
        <v>438</v>
      </c>
      <c r="P10" s="98" t="s">
        <v>439</v>
      </c>
    </row>
    <row r="11" spans="1:22" ht="15" customHeight="1">
      <c r="B11" s="47"/>
      <c r="C11" s="48"/>
      <c r="D11" s="526"/>
      <c r="E11" s="831" t="s">
        <v>404</v>
      </c>
      <c r="F11" s="832"/>
      <c r="G11" s="832"/>
      <c r="H11" s="832"/>
      <c r="I11" s="832"/>
      <c r="J11" s="832"/>
      <c r="K11" s="832"/>
      <c r="L11" s="832"/>
      <c r="M11" s="832"/>
      <c r="N11" s="832"/>
      <c r="O11" s="832"/>
      <c r="P11" s="833"/>
    </row>
    <row r="12" spans="1:22" ht="15" customHeight="1">
      <c r="C12" s="48"/>
      <c r="D12" s="526"/>
      <c r="E12" s="205" t="s">
        <v>576</v>
      </c>
      <c r="F12" s="337"/>
      <c r="G12" s="337"/>
      <c r="H12" s="337"/>
      <c r="I12" s="337"/>
      <c r="J12" s="337"/>
      <c r="K12" s="337"/>
      <c r="L12" s="338"/>
      <c r="M12" s="338"/>
      <c r="N12" s="338"/>
      <c r="O12" s="338"/>
      <c r="P12" s="339"/>
    </row>
    <row r="13" spans="1:22" ht="15" customHeight="1">
      <c r="C13" s="48"/>
      <c r="D13" s="526"/>
      <c r="E13" s="195" t="s">
        <v>69</v>
      </c>
      <c r="F13" s="98">
        <v>2005</v>
      </c>
      <c r="G13" s="98">
        <v>2006</v>
      </c>
      <c r="H13" s="98">
        <v>2007</v>
      </c>
      <c r="I13" s="98">
        <v>2008</v>
      </c>
      <c r="J13" s="98">
        <v>2009</v>
      </c>
      <c r="K13" s="98">
        <v>2010</v>
      </c>
      <c r="L13" s="766"/>
      <c r="M13" s="528">
        <v>2011</v>
      </c>
      <c r="N13" s="528">
        <v>2011</v>
      </c>
      <c r="O13" s="528">
        <v>2014</v>
      </c>
      <c r="P13" s="528">
        <v>2016</v>
      </c>
    </row>
    <row r="14" spans="1:22" ht="15" customHeight="1">
      <c r="B14" s="44">
        <v>301</v>
      </c>
      <c r="C14" s="48" t="str">
        <f>TEXT($B$1,"00")&amp;"."&amp;TEXT($B14,"000")&amp;"."&amp;TEXT('Campus Selector'!$G$6,"00")</f>
        <v>09.301.25</v>
      </c>
      <c r="D14" s="526"/>
      <c r="E14" s="158" t="s">
        <v>315</v>
      </c>
      <c r="F14" s="202">
        <v>546</v>
      </c>
      <c r="G14" s="202">
        <v>527</v>
      </c>
      <c r="H14" s="202">
        <v>613</v>
      </c>
      <c r="I14" s="202">
        <v>666</v>
      </c>
      <c r="J14" s="202">
        <v>660</v>
      </c>
      <c r="K14" s="767">
        <v>563</v>
      </c>
      <c r="L14" s="72">
        <f>IF(ISERROR((+K14-F14)/F14),"-",(+K14-F14)/F14)</f>
        <v>3.1135531135531136E-2</v>
      </c>
      <c r="M14" s="768">
        <v>585</v>
      </c>
      <c r="N14" s="762">
        <v>585</v>
      </c>
      <c r="O14" s="742">
        <v>412</v>
      </c>
      <c r="P14" s="300">
        <v>485</v>
      </c>
    </row>
    <row r="15" spans="1:22" ht="15" customHeight="1">
      <c r="B15" s="44">
        <v>136</v>
      </c>
      <c r="C15" s="48" t="str">
        <f>TEXT($B$1,"00")&amp;"."&amp;TEXT($B15,"000")&amp;"."&amp;TEXT('Campus Selector'!$G$6,"00")</f>
        <v>09.136.25</v>
      </c>
      <c r="D15" s="526"/>
      <c r="E15" s="158" t="s">
        <v>582</v>
      </c>
      <c r="F15" s="203">
        <v>0.19780219780219779</v>
      </c>
      <c r="G15" s="203">
        <v>0.16888045540796964</v>
      </c>
      <c r="H15" s="203">
        <v>0.1402936378466558</v>
      </c>
      <c r="I15" s="203">
        <v>0.11411411411411411</v>
      </c>
      <c r="J15" s="203">
        <v>0.14393939393939395</v>
      </c>
      <c r="K15" s="203">
        <v>0.17939609236234458</v>
      </c>
      <c r="L15" s="769" t="s">
        <v>327</v>
      </c>
      <c r="M15" s="203">
        <v>0.11965811965811966</v>
      </c>
      <c r="N15" s="521">
        <v>0.17100000000000001</v>
      </c>
      <c r="O15" s="770">
        <v>0.2</v>
      </c>
      <c r="P15" s="771">
        <v>0.28000000000000003</v>
      </c>
    </row>
    <row r="16" spans="1:22" ht="15" customHeight="1">
      <c r="B16" s="44">
        <v>137</v>
      </c>
      <c r="C16" s="48" t="str">
        <f>TEXT($B$1,"00")&amp;"."&amp;TEXT($B16,"000")&amp;"."&amp;TEXT('Campus Selector'!$G$6,"00")</f>
        <v>09.137.25</v>
      </c>
      <c r="D16" s="526"/>
      <c r="E16" s="179" t="s">
        <v>583</v>
      </c>
      <c r="F16" s="498">
        <v>0.33699633699633702</v>
      </c>
      <c r="G16" s="498">
        <v>0.28652751423149903</v>
      </c>
      <c r="H16" s="498">
        <v>0.24143556280587275</v>
      </c>
      <c r="I16" s="498">
        <v>0.26276276276276278</v>
      </c>
      <c r="J16" s="498">
        <v>0.26060606060606062</v>
      </c>
      <c r="K16" s="498">
        <v>0.29129662522202487</v>
      </c>
      <c r="L16" s="292" t="s">
        <v>327</v>
      </c>
      <c r="M16" s="498">
        <v>0.23589743589743589</v>
      </c>
      <c r="N16" s="772">
        <v>0.27400000000000002</v>
      </c>
      <c r="O16" s="770">
        <v>0.3</v>
      </c>
      <c r="P16" s="773">
        <v>0.35</v>
      </c>
    </row>
    <row r="17" spans="2:16" ht="15" customHeight="1">
      <c r="B17" s="44">
        <v>138</v>
      </c>
      <c r="C17" s="48" t="str">
        <f>TEXT($B$1,"00")&amp;"."&amp;TEXT($B17,"000")&amp;"."&amp;TEXT('Campus Selector'!$G$6,"00")</f>
        <v>09.138.25</v>
      </c>
      <c r="D17" s="526"/>
      <c r="E17" s="91" t="s">
        <v>584</v>
      </c>
      <c r="F17" s="203">
        <v>0.36813186813186816</v>
      </c>
      <c r="G17" s="203">
        <v>0.30550284629981023</v>
      </c>
      <c r="H17" s="203">
        <v>0.28221859706362151</v>
      </c>
      <c r="I17" s="203">
        <v>0.27777777777777779</v>
      </c>
      <c r="J17" s="203">
        <v>0.29696969696969699</v>
      </c>
      <c r="K17" s="203">
        <v>0.31793960923623443</v>
      </c>
      <c r="L17" s="774" t="s">
        <v>327</v>
      </c>
      <c r="M17" s="774" t="s">
        <v>327</v>
      </c>
      <c r="N17" s="521">
        <v>0.29399999999999998</v>
      </c>
      <c r="O17" s="770">
        <v>0.32</v>
      </c>
      <c r="P17" s="775">
        <v>0.37</v>
      </c>
    </row>
    <row r="18" spans="2:16" ht="6.95" customHeight="1">
      <c r="C18" s="48"/>
      <c r="D18" s="526"/>
      <c r="E18" s="157"/>
      <c r="F18" s="197"/>
      <c r="G18" s="197"/>
      <c r="H18" s="197"/>
      <c r="I18" s="197"/>
      <c r="J18" s="197"/>
      <c r="K18" s="197"/>
      <c r="L18" s="156"/>
      <c r="M18" s="156"/>
      <c r="N18" s="156"/>
      <c r="O18" s="156"/>
      <c r="P18" s="156"/>
    </row>
    <row r="19" spans="2:16" ht="15" customHeight="1">
      <c r="B19" s="47"/>
      <c r="C19" s="48"/>
      <c r="D19" s="526"/>
      <c r="E19" s="847" t="s">
        <v>440</v>
      </c>
      <c r="F19" s="848"/>
      <c r="G19" s="848"/>
      <c r="H19" s="848"/>
      <c r="I19" s="848"/>
      <c r="J19" s="848"/>
      <c r="K19" s="848"/>
      <c r="L19" s="848"/>
      <c r="M19" s="848"/>
      <c r="N19" s="848"/>
      <c r="O19" s="848"/>
      <c r="P19" s="849"/>
    </row>
    <row r="20" spans="2:16" ht="15" customHeight="1">
      <c r="B20" s="44">
        <v>136</v>
      </c>
      <c r="C20" s="48" t="str">
        <f>TEXT($B$1,"00")&amp;"."&amp;TEXT($B20,"000")&amp;"."&amp;TEXT('Campus Selector'!$J$9,"00")</f>
        <v>09.136.90</v>
      </c>
      <c r="D20" s="526"/>
      <c r="E20" s="249" t="s">
        <v>582</v>
      </c>
      <c r="F20" s="495">
        <v>0.1977818853974122</v>
      </c>
      <c r="G20" s="495">
        <v>0.18878695208970439</v>
      </c>
      <c r="H20" s="495">
        <v>0.17713396850087498</v>
      </c>
      <c r="I20" s="495">
        <v>0.17734921535261863</v>
      </c>
      <c r="J20" s="495">
        <v>0.2033630069238378</v>
      </c>
      <c r="K20" s="495">
        <v>0.22031017633312089</v>
      </c>
      <c r="L20" s="427" t="s">
        <v>327</v>
      </c>
      <c r="M20" s="497">
        <v>0.21759675967596759</v>
      </c>
      <c r="N20" s="255" t="s">
        <v>327</v>
      </c>
      <c r="O20" s="427" t="s">
        <v>327</v>
      </c>
      <c r="P20" s="427" t="s">
        <v>327</v>
      </c>
    </row>
    <row r="21" spans="2:16" ht="15" customHeight="1">
      <c r="B21" s="44">
        <v>137</v>
      </c>
      <c r="C21" s="48" t="str">
        <f>TEXT($B$1,"00")&amp;"."&amp;TEXT($B21,"000")&amp;"."&amp;TEXT('Campus Selector'!$J$9,"00")</f>
        <v>09.137.90</v>
      </c>
      <c r="D21" s="526"/>
      <c r="E21" s="243" t="s">
        <v>583</v>
      </c>
      <c r="F21" s="495">
        <v>0.30232080509344833</v>
      </c>
      <c r="G21" s="495">
        <v>0.3003058103975535</v>
      </c>
      <c r="H21" s="495">
        <v>0.29049193077970059</v>
      </c>
      <c r="I21" s="495">
        <v>0.29627528833427869</v>
      </c>
      <c r="J21" s="495">
        <v>0.32225519287833826</v>
      </c>
      <c r="K21" s="495">
        <v>0.33885702145740387</v>
      </c>
      <c r="L21" s="255" t="s">
        <v>327</v>
      </c>
      <c r="M21" s="495">
        <v>0.32763276327632762</v>
      </c>
      <c r="N21" s="255" t="s">
        <v>327</v>
      </c>
      <c r="O21" s="255" t="s">
        <v>327</v>
      </c>
      <c r="P21" s="255" t="s">
        <v>327</v>
      </c>
    </row>
    <row r="22" spans="2:16" ht="15" customHeight="1">
      <c r="B22" s="44">
        <v>138</v>
      </c>
      <c r="C22" s="48" t="str">
        <f>TEXT($B$1,"00")&amp;"."&amp;TEXT($B22,"000")&amp;"."&amp;TEXT('Campus Selector'!$J$9,"00")</f>
        <v>09.138.90</v>
      </c>
      <c r="D22" s="526"/>
      <c r="E22" s="496" t="s">
        <v>584</v>
      </c>
      <c r="F22" s="495">
        <v>0.32984185664407478</v>
      </c>
      <c r="G22" s="495">
        <v>0.33374108053007134</v>
      </c>
      <c r="H22" s="495">
        <v>0.32257437293408514</v>
      </c>
      <c r="I22" s="495">
        <v>0.32803932690489696</v>
      </c>
      <c r="J22" s="495">
        <v>0.35014836795252224</v>
      </c>
      <c r="K22" s="495">
        <v>0.36817505842362441</v>
      </c>
      <c r="L22" s="497" t="s">
        <v>327</v>
      </c>
      <c r="M22" s="497" t="s">
        <v>327</v>
      </c>
      <c r="N22" s="497" t="s">
        <v>327</v>
      </c>
      <c r="O22" s="497" t="s">
        <v>327</v>
      </c>
      <c r="P22" s="497" t="s">
        <v>327</v>
      </c>
    </row>
    <row r="23" spans="2:16" ht="6.95" customHeight="1">
      <c r="C23" s="48"/>
      <c r="D23" s="526"/>
      <c r="E23" s="157"/>
      <c r="F23" s="197"/>
      <c r="G23" s="197"/>
      <c r="H23" s="197"/>
      <c r="I23" s="197"/>
      <c r="J23" s="197"/>
      <c r="K23" s="197"/>
      <c r="L23" s="156"/>
      <c r="M23" s="156"/>
      <c r="N23" s="156"/>
      <c r="O23" s="156"/>
      <c r="P23" s="156"/>
    </row>
    <row r="24" spans="2:16" ht="15" customHeight="1">
      <c r="B24" s="47"/>
      <c r="C24" s="48"/>
      <c r="D24" s="526"/>
      <c r="E24" s="519" t="s">
        <v>578</v>
      </c>
      <c r="F24" s="705"/>
      <c r="G24" s="705"/>
      <c r="H24" s="705"/>
      <c r="I24" s="705"/>
      <c r="J24" s="705"/>
      <c r="K24" s="705"/>
      <c r="L24" s="705"/>
      <c r="M24" s="705"/>
      <c r="N24" s="705"/>
      <c r="O24" s="705"/>
      <c r="P24" s="706"/>
    </row>
    <row r="25" spans="2:16" ht="15" customHeight="1">
      <c r="B25" s="44">
        <v>364</v>
      </c>
      <c r="C25" s="48" t="str">
        <f>+TEXT($B$1,"00")&amp;"."&amp;$B25&amp;".2-yr Public"</f>
        <v>09.364.2-yr Public</v>
      </c>
      <c r="D25" s="526"/>
      <c r="E25" s="243" t="s">
        <v>583</v>
      </c>
      <c r="F25" s="497">
        <v>0.20599999999999999</v>
      </c>
      <c r="G25" s="497">
        <v>0.20399999999999999</v>
      </c>
      <c r="H25" s="497">
        <v>0.20300000000000001</v>
      </c>
      <c r="I25" s="497">
        <v>0.20200000000000001</v>
      </c>
      <c r="J25" s="497">
        <v>0.19800000000000001</v>
      </c>
      <c r="K25" s="497">
        <v>0.19500000000000001</v>
      </c>
      <c r="L25" s="255" t="s">
        <v>327</v>
      </c>
      <c r="M25" s="255" t="s">
        <v>327</v>
      </c>
      <c r="N25" s="255" t="s">
        <v>327</v>
      </c>
      <c r="O25" s="255" t="s">
        <v>327</v>
      </c>
      <c r="P25" s="255" t="s">
        <v>327</v>
      </c>
    </row>
    <row r="26" spans="2:16">
      <c r="C26" s="48"/>
      <c r="D26" s="526"/>
      <c r="E26" s="157"/>
      <c r="F26" s="197"/>
      <c r="G26" s="197"/>
      <c r="H26" s="197"/>
      <c r="I26" s="197"/>
      <c r="J26" s="197"/>
      <c r="K26" s="197"/>
      <c r="L26" s="156"/>
      <c r="M26" s="156"/>
      <c r="N26" s="156"/>
      <c r="O26" s="156"/>
      <c r="P26" s="156"/>
    </row>
    <row r="27" spans="2:16" ht="15" customHeight="1">
      <c r="B27" s="47"/>
      <c r="C27" s="48"/>
      <c r="D27" s="526"/>
      <c r="E27" s="831" t="s">
        <v>404</v>
      </c>
      <c r="F27" s="832"/>
      <c r="G27" s="832"/>
      <c r="H27" s="832"/>
      <c r="I27" s="832"/>
      <c r="J27" s="832"/>
      <c r="K27" s="832"/>
      <c r="L27" s="832"/>
      <c r="M27" s="832"/>
      <c r="N27" s="832"/>
      <c r="O27" s="832"/>
      <c r="P27" s="833"/>
    </row>
    <row r="28" spans="2:16" ht="15" customHeight="1">
      <c r="C28" s="48"/>
      <c r="D28" s="526"/>
      <c r="E28" s="179" t="s">
        <v>577</v>
      </c>
      <c r="F28" s="776"/>
      <c r="G28" s="776"/>
      <c r="H28" s="776"/>
      <c r="I28" s="776"/>
      <c r="J28" s="776"/>
      <c r="K28" s="776"/>
      <c r="L28" s="777"/>
      <c r="M28" s="777"/>
      <c r="N28" s="777"/>
      <c r="O28" s="777"/>
      <c r="P28" s="303"/>
    </row>
    <row r="29" spans="2:16" ht="15" customHeight="1">
      <c r="C29" s="48"/>
      <c r="D29" s="526"/>
      <c r="E29" s="195" t="s">
        <v>69</v>
      </c>
      <c r="F29" s="98">
        <v>2003</v>
      </c>
      <c r="G29" s="98">
        <v>2004</v>
      </c>
      <c r="H29" s="98">
        <v>2005</v>
      </c>
      <c r="I29" s="98">
        <v>2006</v>
      </c>
      <c r="J29" s="98">
        <v>2007</v>
      </c>
      <c r="K29" s="98">
        <v>2008</v>
      </c>
      <c r="L29" s="513"/>
      <c r="M29" s="98">
        <v>2009</v>
      </c>
      <c r="N29" s="98">
        <v>2009</v>
      </c>
      <c r="O29" s="98">
        <v>2012</v>
      </c>
      <c r="P29" s="98">
        <v>2014</v>
      </c>
    </row>
    <row r="30" spans="2:16" ht="15" customHeight="1">
      <c r="B30" s="44">
        <v>300</v>
      </c>
      <c r="C30" s="48" t="str">
        <f>TEXT($B$1,"00")&amp;"."&amp;TEXT($B30,"000")&amp;"."&amp;TEXT('Campus Selector'!$G$6,"00")</f>
        <v>09.300.25</v>
      </c>
      <c r="D30" s="526"/>
      <c r="E30" s="158" t="s">
        <v>315</v>
      </c>
      <c r="F30" s="202">
        <v>42</v>
      </c>
      <c r="G30" s="202">
        <v>38</v>
      </c>
      <c r="H30" s="202">
        <v>37</v>
      </c>
      <c r="I30" s="202">
        <v>28</v>
      </c>
      <c r="J30" s="202">
        <v>77</v>
      </c>
      <c r="K30" s="202">
        <v>75</v>
      </c>
      <c r="L30" s="72">
        <f>IF(ISERROR((+K30-F30)/F30),"-",(+K30-F30)/F30)</f>
        <v>0.7857142857142857</v>
      </c>
      <c r="M30" s="778">
        <v>94</v>
      </c>
      <c r="N30" s="779">
        <v>94</v>
      </c>
      <c r="O30" s="780">
        <v>126</v>
      </c>
      <c r="P30" s="300">
        <v>131</v>
      </c>
    </row>
    <row r="31" spans="2:16" ht="15" customHeight="1">
      <c r="B31" s="44">
        <v>139</v>
      </c>
      <c r="C31" s="48" t="str">
        <f>TEXT($B$1,"00")&amp;"."&amp;TEXT($B31,"000")&amp;"."&amp;TEXT('Campus Selector'!$G$6,"00")</f>
        <v>09.139.25</v>
      </c>
      <c r="D31" s="526"/>
      <c r="E31" s="158" t="s">
        <v>584</v>
      </c>
      <c r="F31" s="204">
        <v>0.30952380952380953</v>
      </c>
      <c r="G31" s="204">
        <v>0.39473684210526316</v>
      </c>
      <c r="H31" s="204">
        <v>0.27027027027027029</v>
      </c>
      <c r="I31" s="204">
        <v>0.25</v>
      </c>
      <c r="J31" s="204">
        <v>0.23376623376623376</v>
      </c>
      <c r="K31" s="204">
        <v>0.18666666666666668</v>
      </c>
      <c r="L31" s="73" t="s">
        <v>327</v>
      </c>
      <c r="M31" s="204">
        <v>0.27659574468085107</v>
      </c>
      <c r="N31" s="781">
        <v>0.27700000000000002</v>
      </c>
      <c r="O31" s="782">
        <v>0.3</v>
      </c>
      <c r="P31" s="783">
        <v>0.35</v>
      </c>
    </row>
    <row r="32" spans="2:16" ht="15" customHeight="1">
      <c r="B32" s="44">
        <v>140</v>
      </c>
      <c r="C32" s="48" t="str">
        <f>TEXT($B$1,"00")&amp;"."&amp;TEXT($B32,"000")&amp;"."&amp;TEXT('Campus Selector'!$G$6,"00")</f>
        <v>09.140.25</v>
      </c>
      <c r="D32" s="526"/>
      <c r="E32" s="92" t="s">
        <v>585</v>
      </c>
      <c r="F32" s="204">
        <v>0.38095238095238093</v>
      </c>
      <c r="G32" s="204">
        <v>0.39473684210526316</v>
      </c>
      <c r="H32" s="204">
        <v>0.27027027027027029</v>
      </c>
      <c r="I32" s="204">
        <v>0.32142857142857145</v>
      </c>
      <c r="J32" s="204">
        <v>0.2857142857142857</v>
      </c>
      <c r="K32" s="204">
        <v>0.26666666666666666</v>
      </c>
      <c r="L32" s="73" t="s">
        <v>327</v>
      </c>
      <c r="M32" s="203">
        <v>0.30851063829787234</v>
      </c>
      <c r="N32" s="781">
        <v>0.34</v>
      </c>
      <c r="O32" s="784">
        <v>0.38</v>
      </c>
      <c r="P32" s="785">
        <v>0.4</v>
      </c>
    </row>
    <row r="33" spans="2:16" ht="15" customHeight="1">
      <c r="B33" s="44">
        <v>141</v>
      </c>
      <c r="C33" s="48" t="str">
        <f>TEXT($B$1,"00")&amp;"."&amp;TEXT($B33,"000")&amp;"."&amp;TEXT('Campus Selector'!$G$6,"00")</f>
        <v>09.141.25</v>
      </c>
      <c r="D33" s="526"/>
      <c r="E33" s="179" t="s">
        <v>357</v>
      </c>
      <c r="F33" s="549">
        <v>0.38095238095238093</v>
      </c>
      <c r="G33" s="549">
        <v>0.39473684210526316</v>
      </c>
      <c r="H33" s="549">
        <v>0.29729729729729731</v>
      </c>
      <c r="I33" s="549">
        <v>0.32142857142857145</v>
      </c>
      <c r="J33" s="549">
        <v>0.2857142857142857</v>
      </c>
      <c r="K33" s="549">
        <v>0.30666666666666664</v>
      </c>
      <c r="L33" s="292" t="s">
        <v>327</v>
      </c>
      <c r="M33" s="292" t="s">
        <v>327</v>
      </c>
      <c r="N33" s="786">
        <v>0.34</v>
      </c>
      <c r="O33" s="787">
        <v>0.4</v>
      </c>
      <c r="P33" s="550">
        <v>0.42</v>
      </c>
    </row>
    <row r="34" spans="2:16" ht="6.95" customHeight="1">
      <c r="C34" s="48"/>
      <c r="D34" s="526"/>
      <c r="E34" s="157"/>
      <c r="F34" s="197"/>
      <c r="G34" s="197"/>
      <c r="H34" s="197"/>
      <c r="I34" s="197"/>
      <c r="J34" s="197"/>
      <c r="K34" s="197"/>
      <c r="L34" s="156"/>
      <c r="M34" s="156"/>
      <c r="N34" s="156"/>
      <c r="O34" s="156"/>
      <c r="P34" s="156"/>
    </row>
    <row r="35" spans="2:16" ht="15" customHeight="1">
      <c r="B35" s="47"/>
      <c r="C35" s="48"/>
      <c r="D35" s="526"/>
      <c r="E35" s="847" t="s">
        <v>440</v>
      </c>
      <c r="F35" s="848"/>
      <c r="G35" s="848"/>
      <c r="H35" s="848"/>
      <c r="I35" s="848"/>
      <c r="J35" s="848"/>
      <c r="K35" s="848"/>
      <c r="L35" s="848"/>
      <c r="M35" s="848"/>
      <c r="N35" s="848"/>
      <c r="O35" s="848"/>
      <c r="P35" s="849"/>
    </row>
    <row r="36" spans="2:16" ht="15" customHeight="1">
      <c r="B36" s="44">
        <v>139</v>
      </c>
      <c r="C36" s="48" t="str">
        <f>TEXT($B$1,"00")&amp;"."&amp;TEXT($B36,"000")&amp;"."&amp;TEXT('Campus Selector'!$J$9,"00")</f>
        <v>09.139.90</v>
      </c>
      <c r="D36" s="526"/>
      <c r="E36" s="249" t="s">
        <v>584</v>
      </c>
      <c r="F36" s="495">
        <v>0.28193832599118945</v>
      </c>
      <c r="G36" s="497">
        <v>0.26984126984126983</v>
      </c>
      <c r="H36" s="497">
        <v>0.25465838509316768</v>
      </c>
      <c r="I36" s="497">
        <v>0.26494345718901452</v>
      </c>
      <c r="J36" s="497">
        <v>0.32066869300911854</v>
      </c>
      <c r="K36" s="497">
        <v>0.30535966149506349</v>
      </c>
      <c r="L36" s="255" t="s">
        <v>327</v>
      </c>
      <c r="M36" s="255" t="s">
        <v>327</v>
      </c>
      <c r="N36" s="255" t="s">
        <v>327</v>
      </c>
      <c r="O36" s="255" t="s">
        <v>327</v>
      </c>
      <c r="P36" s="255" t="s">
        <v>327</v>
      </c>
    </row>
    <row r="37" spans="2:16" ht="15" customHeight="1">
      <c r="B37" s="44">
        <v>140</v>
      </c>
      <c r="C37" s="48" t="str">
        <f>TEXT($B$1,"00")&amp;"."&amp;TEXT($B37,"000")&amp;"."&amp;TEXT('Campus Selector'!$J$9,"00")</f>
        <v>09.140.90</v>
      </c>
      <c r="D37" s="526"/>
      <c r="E37" s="243" t="s">
        <v>585</v>
      </c>
      <c r="F37" s="495">
        <v>0.42290748898678415</v>
      </c>
      <c r="G37" s="495">
        <v>0.40362811791383219</v>
      </c>
      <c r="H37" s="495">
        <v>0.4046140195208518</v>
      </c>
      <c r="I37" s="495">
        <v>0.41357027463651053</v>
      </c>
      <c r="J37" s="495">
        <v>0.4582066869300912</v>
      </c>
      <c r="K37" s="495">
        <v>0</v>
      </c>
      <c r="L37" s="255" t="s">
        <v>327</v>
      </c>
      <c r="M37" s="255" t="s">
        <v>327</v>
      </c>
      <c r="N37" s="255" t="s">
        <v>327</v>
      </c>
      <c r="O37" s="255" t="s">
        <v>327</v>
      </c>
      <c r="P37" s="255" t="s">
        <v>327</v>
      </c>
    </row>
    <row r="38" spans="2:16" ht="15" customHeight="1">
      <c r="B38" s="44">
        <v>141</v>
      </c>
      <c r="C38" s="48" t="str">
        <f>TEXT($B$1,"00")&amp;"."&amp;TEXT($B38,"000")&amp;"."&amp;TEXT('Campus Selector'!$J$9,"00")</f>
        <v>09.141.90</v>
      </c>
      <c r="D38" s="526"/>
      <c r="E38" s="243" t="s">
        <v>586</v>
      </c>
      <c r="F38" s="495">
        <v>0.45044052863436124</v>
      </c>
      <c r="G38" s="495">
        <v>0.43877551020408162</v>
      </c>
      <c r="H38" s="495">
        <v>0.44099378881987578</v>
      </c>
      <c r="I38" s="495">
        <v>0.44345718901453957</v>
      </c>
      <c r="J38" s="495">
        <v>0</v>
      </c>
      <c r="K38" s="495">
        <v>0</v>
      </c>
      <c r="L38" s="255" t="s">
        <v>327</v>
      </c>
      <c r="M38" s="255" t="s">
        <v>327</v>
      </c>
      <c r="N38" s="255" t="s">
        <v>327</v>
      </c>
      <c r="O38" s="255" t="s">
        <v>327</v>
      </c>
      <c r="P38" s="255" t="s">
        <v>327</v>
      </c>
    </row>
    <row r="39" spans="2:16" ht="6.95" customHeight="1">
      <c r="C39" s="48"/>
      <c r="D39" s="526"/>
      <c r="E39" s="157"/>
      <c r="F39" s="197"/>
      <c r="G39" s="197"/>
      <c r="H39" s="197"/>
      <c r="I39" s="197"/>
      <c r="J39" s="197"/>
      <c r="K39" s="197"/>
      <c r="L39" s="156"/>
      <c r="M39" s="156"/>
      <c r="N39" s="156"/>
      <c r="O39" s="156"/>
      <c r="P39" s="156"/>
    </row>
    <row r="40" spans="2:16" ht="15" customHeight="1">
      <c r="B40" s="47"/>
      <c r="C40" s="48"/>
      <c r="D40" s="526"/>
      <c r="E40" s="519" t="s">
        <v>579</v>
      </c>
      <c r="F40" s="705"/>
      <c r="G40" s="705"/>
      <c r="H40" s="705"/>
      <c r="I40" s="705"/>
      <c r="J40" s="705"/>
      <c r="K40" s="705"/>
      <c r="L40" s="705"/>
      <c r="M40" s="705"/>
      <c r="N40" s="705"/>
      <c r="O40" s="705"/>
      <c r="P40" s="706"/>
    </row>
    <row r="41" spans="2:16" ht="15" customHeight="1">
      <c r="B41" s="44">
        <v>366</v>
      </c>
      <c r="C41" s="48" t="str">
        <f>+TEXT($B$1,"00")&amp;"."&amp;$B41&amp;".4-yr Public"</f>
        <v>09.366.4-yr Public</v>
      </c>
      <c r="D41" s="526"/>
      <c r="E41" s="249" t="s">
        <v>584</v>
      </c>
      <c r="F41" s="495">
        <v>0.307</v>
      </c>
      <c r="G41" s="495">
        <v>0.314</v>
      </c>
      <c r="H41" s="495">
        <v>0.32</v>
      </c>
      <c r="I41" s="495">
        <v>0.32800000000000001</v>
      </c>
      <c r="J41" s="495">
        <v>0.33500000000000002</v>
      </c>
      <c r="K41" s="523" t="s">
        <v>327</v>
      </c>
      <c r="L41" s="255" t="s">
        <v>327</v>
      </c>
      <c r="M41" s="255" t="s">
        <v>327</v>
      </c>
      <c r="N41" s="255" t="s">
        <v>327</v>
      </c>
      <c r="O41" s="255" t="s">
        <v>327</v>
      </c>
      <c r="P41" s="255" t="s">
        <v>327</v>
      </c>
    </row>
    <row r="42" spans="2:16" ht="15" customHeight="1">
      <c r="B42" s="44">
        <v>367</v>
      </c>
      <c r="C42" s="48" t="str">
        <f>+TEXT($B$1,"00")&amp;"."&amp;$B42&amp;".4-yr Public"</f>
        <v>09.367.4-yr Public</v>
      </c>
      <c r="D42" s="526"/>
      <c r="E42" s="243" t="s">
        <v>585</v>
      </c>
      <c r="F42" s="495">
        <v>0.503</v>
      </c>
      <c r="G42" s="495">
        <v>0.50700000000000001</v>
      </c>
      <c r="H42" s="495">
        <v>0.51100000000000001</v>
      </c>
      <c r="I42" s="495">
        <v>0.51900000000000002</v>
      </c>
      <c r="J42" s="495">
        <v>0.52300000000000002</v>
      </c>
      <c r="K42" s="523" t="s">
        <v>327</v>
      </c>
      <c r="L42" s="255" t="s">
        <v>327</v>
      </c>
      <c r="M42" s="255" t="s">
        <v>327</v>
      </c>
      <c r="N42" s="255" t="s">
        <v>327</v>
      </c>
      <c r="O42" s="255" t="s">
        <v>327</v>
      </c>
      <c r="P42" s="255" t="s">
        <v>327</v>
      </c>
    </row>
    <row r="43" spans="2:16" ht="15" customHeight="1">
      <c r="B43" s="44">
        <v>368</v>
      </c>
      <c r="C43" s="48" t="str">
        <f>+TEXT($B$1,"00")&amp;"."&amp;$B43&amp;".4-yr Public"</f>
        <v>09.368.4-yr Public</v>
      </c>
      <c r="D43" s="526"/>
      <c r="E43" s="243" t="s">
        <v>586</v>
      </c>
      <c r="F43" s="497">
        <v>0.55800000000000005</v>
      </c>
      <c r="G43" s="497">
        <v>0.56100000000000005</v>
      </c>
      <c r="H43" s="497">
        <v>0.56599999999999995</v>
      </c>
      <c r="I43" s="497">
        <v>0.57199999999999995</v>
      </c>
      <c r="J43" s="497">
        <v>0.57699999999999996</v>
      </c>
      <c r="K43" s="497" t="s">
        <v>327</v>
      </c>
      <c r="L43" s="255" t="s">
        <v>327</v>
      </c>
      <c r="M43" s="255" t="s">
        <v>327</v>
      </c>
      <c r="N43" s="255" t="s">
        <v>327</v>
      </c>
      <c r="O43" s="255" t="s">
        <v>327</v>
      </c>
      <c r="P43" s="255" t="s">
        <v>327</v>
      </c>
    </row>
    <row r="44" spans="2:16" ht="6.75" customHeight="1">
      <c r="C44" s="48"/>
      <c r="D44" s="526"/>
      <c r="E44" s="69"/>
      <c r="F44" s="70"/>
      <c r="G44" s="70"/>
      <c r="H44" s="70"/>
      <c r="I44" s="70"/>
      <c r="J44" s="70"/>
      <c r="K44" s="1"/>
      <c r="L44" s="1"/>
      <c r="M44" s="1"/>
      <c r="N44" s="1"/>
      <c r="O44" s="1"/>
      <c r="P44" s="1"/>
    </row>
    <row r="45" spans="2:16" ht="17.25" customHeight="1">
      <c r="C45" s="48"/>
      <c r="D45" s="526"/>
      <c r="E45" s="844" t="s">
        <v>502</v>
      </c>
      <c r="F45" s="844"/>
      <c r="G45" s="844"/>
      <c r="H45" s="844"/>
      <c r="I45" s="844"/>
      <c r="J45" s="844"/>
      <c r="K45" s="844"/>
      <c r="L45" s="844"/>
      <c r="M45" s="844"/>
      <c r="N45" s="844"/>
      <c r="O45" s="844"/>
      <c r="P45" s="844"/>
    </row>
    <row r="46" spans="2:16" ht="6.75" customHeight="1">
      <c r="C46" s="48"/>
      <c r="D46" s="526"/>
      <c r="E46" s="827"/>
      <c r="F46" s="827"/>
      <c r="G46" s="827"/>
      <c r="H46" s="827"/>
      <c r="I46" s="827"/>
      <c r="J46" s="827"/>
      <c r="K46" s="827"/>
      <c r="L46" s="827"/>
      <c r="M46" s="704"/>
      <c r="N46" s="704"/>
      <c r="O46" s="118"/>
      <c r="P46" s="118"/>
    </row>
    <row r="47" spans="2:16" ht="15" customHeight="1">
      <c r="C47" s="48"/>
      <c r="D47" s="526"/>
      <c r="E47" s="121" t="s">
        <v>260</v>
      </c>
      <c r="F47" s="122"/>
      <c r="G47" s="123"/>
      <c r="H47" s="122"/>
      <c r="I47" s="122"/>
      <c r="J47" s="122"/>
      <c r="K47" s="123"/>
      <c r="L47" s="124"/>
      <c r="M47" s="124"/>
      <c r="N47" s="124"/>
      <c r="O47" s="124"/>
      <c r="P47" s="124"/>
    </row>
    <row r="48" spans="2:16" ht="40.5" customHeight="1">
      <c r="C48" s="48"/>
      <c r="D48" s="526"/>
      <c r="E48" s="846" t="s">
        <v>730</v>
      </c>
      <c r="F48" s="846"/>
      <c r="G48" s="846"/>
      <c r="H48" s="846"/>
      <c r="I48" s="846"/>
      <c r="J48" s="846"/>
      <c r="K48" s="846"/>
      <c r="L48" s="846"/>
      <c r="M48" s="846"/>
      <c r="N48" s="846"/>
      <c r="O48" s="846"/>
      <c r="P48" s="846"/>
    </row>
    <row r="49" spans="3:16" ht="64.5" customHeight="1">
      <c r="C49" s="48"/>
      <c r="E49" s="846"/>
      <c r="F49" s="846"/>
      <c r="G49" s="846"/>
      <c r="H49" s="846"/>
      <c r="I49" s="846"/>
      <c r="J49" s="846"/>
      <c r="K49" s="846"/>
      <c r="L49" s="846"/>
      <c r="M49" s="846"/>
      <c r="N49" s="846"/>
      <c r="O49" s="846"/>
      <c r="P49" s="846"/>
    </row>
  </sheetData>
  <mergeCells count="10">
    <mergeCell ref="R5:V5"/>
    <mergeCell ref="E7:P7"/>
    <mergeCell ref="E8:P8"/>
    <mergeCell ref="E46:L46"/>
    <mergeCell ref="E48:P49"/>
    <mergeCell ref="E11:P11"/>
    <mergeCell ref="E35:P35"/>
    <mergeCell ref="E45:P45"/>
    <mergeCell ref="E19:P19"/>
    <mergeCell ref="E27:P27"/>
  </mergeCells>
  <printOptions horizontalCentered="1"/>
  <pageMargins left="0.2" right="0.2" top="0.5" bottom="0.5" header="0.3" footer="0.3"/>
  <pageSetup scale="85" fitToWidth="0" orientation="landscape" horizontalDpi="300" verticalDpi="300" r:id="rId1"/>
  <headerFooter alignWithMargins="0">
    <oddFooter>&amp;LState University of New York System Administration&amp;R&amp;G</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C000"/>
  </sheetPr>
  <dimension ref="A1:V51"/>
  <sheetViews>
    <sheetView showGridLines="0" topLeftCell="D6" zoomScaleNormal="100" workbookViewId="0">
      <selection activeCell="V40" sqref="V40"/>
    </sheetView>
  </sheetViews>
  <sheetFormatPr defaultColWidth="9.140625" defaultRowHeight="15" customHeight="1"/>
  <cols>
    <col min="1" max="1" width="9.140625" style="32" hidden="1" customWidth="1"/>
    <col min="2" max="2" width="8" style="44" hidden="1" customWidth="1"/>
    <col min="3" max="3" width="10" style="32" hidden="1" customWidth="1"/>
    <col min="4" max="4" width="10" style="50" customWidth="1"/>
    <col min="5" max="5" width="32.85546875" style="1" customWidth="1"/>
    <col min="6" max="6" width="10" style="1" customWidth="1"/>
    <col min="7" max="7" width="10" style="61" customWidth="1"/>
    <col min="8" max="16" width="10" style="53" customWidth="1"/>
    <col min="17" max="16384" width="9.140625" style="1"/>
  </cols>
  <sheetData>
    <row r="1" spans="1:22" s="32" customFormat="1" ht="15" hidden="1" customHeight="1">
      <c r="A1" s="32" t="s">
        <v>254</v>
      </c>
      <c r="B1" s="44">
        <v>10</v>
      </c>
      <c r="E1" s="32" t="s">
        <v>321</v>
      </c>
      <c r="F1" s="44">
        <v>19</v>
      </c>
      <c r="G1" s="44">
        <f t="shared" ref="G1:K2" si="0">F1+1</f>
        <v>20</v>
      </c>
      <c r="H1" s="44">
        <f t="shared" si="0"/>
        <v>21</v>
      </c>
      <c r="I1" s="44">
        <f t="shared" si="0"/>
        <v>22</v>
      </c>
      <c r="J1" s="44">
        <f t="shared" si="0"/>
        <v>23</v>
      </c>
      <c r="K1" s="44">
        <f t="shared" si="0"/>
        <v>24</v>
      </c>
      <c r="L1" s="45"/>
      <c r="M1" s="44">
        <f>+K1+1</f>
        <v>25</v>
      </c>
      <c r="N1" s="45">
        <f>+M1</f>
        <v>25</v>
      </c>
      <c r="O1" s="32">
        <v>27</v>
      </c>
      <c r="P1" s="32">
        <v>28</v>
      </c>
    </row>
    <row r="2" spans="1:22" s="32" customFormat="1" ht="15" hidden="1" customHeight="1">
      <c r="B2" s="44"/>
      <c r="E2" s="32" t="s">
        <v>322</v>
      </c>
      <c r="F2" s="44">
        <v>18</v>
      </c>
      <c r="G2" s="44">
        <f t="shared" si="0"/>
        <v>19</v>
      </c>
      <c r="H2" s="44">
        <f t="shared" si="0"/>
        <v>20</v>
      </c>
      <c r="I2" s="44">
        <f t="shared" si="0"/>
        <v>21</v>
      </c>
      <c r="J2" s="44">
        <f t="shared" si="0"/>
        <v>22</v>
      </c>
      <c r="K2" s="44">
        <f t="shared" si="0"/>
        <v>23</v>
      </c>
      <c r="L2" s="45"/>
      <c r="M2" s="44">
        <f>+K2+1</f>
        <v>24</v>
      </c>
      <c r="N2" s="45">
        <f>+M2</f>
        <v>24</v>
      </c>
      <c r="O2" s="32">
        <v>26</v>
      </c>
      <c r="P2" s="32">
        <v>27</v>
      </c>
    </row>
    <row r="3" spans="1:22" s="32" customFormat="1" ht="15" hidden="1" customHeight="1">
      <c r="B3" s="44"/>
      <c r="E3" s="32" t="s">
        <v>568</v>
      </c>
      <c r="F3" s="44"/>
      <c r="G3" s="44"/>
      <c r="H3" s="44"/>
      <c r="I3" s="44"/>
      <c r="J3" s="44"/>
      <c r="K3" s="44"/>
      <c r="L3" s="45"/>
      <c r="M3" s="44"/>
      <c r="N3" s="45">
        <v>28</v>
      </c>
    </row>
    <row r="4" spans="1:22" s="32" customFormat="1" ht="15" hidden="1" customHeight="1">
      <c r="B4" s="44"/>
      <c r="E4" s="32" t="s">
        <v>321</v>
      </c>
      <c r="F4" s="32">
        <v>17</v>
      </c>
      <c r="G4" s="32">
        <f t="shared" ref="G4:K5" si="1">+F4+1</f>
        <v>18</v>
      </c>
      <c r="H4" s="32">
        <f t="shared" si="1"/>
        <v>19</v>
      </c>
      <c r="I4" s="32">
        <f t="shared" si="1"/>
        <v>20</v>
      </c>
      <c r="J4" s="32">
        <f t="shared" si="1"/>
        <v>21</v>
      </c>
      <c r="K4" s="32">
        <f t="shared" si="1"/>
        <v>22</v>
      </c>
      <c r="M4" s="32">
        <v>23</v>
      </c>
      <c r="N4" s="32">
        <f>+M4</f>
        <v>23</v>
      </c>
      <c r="O4" s="32">
        <v>25</v>
      </c>
      <c r="P4" s="32">
        <v>26</v>
      </c>
    </row>
    <row r="5" spans="1:22" s="32" customFormat="1" ht="15" hidden="1" customHeight="1">
      <c r="B5" s="44"/>
      <c r="E5" s="32" t="s">
        <v>322</v>
      </c>
      <c r="F5" s="32">
        <v>16</v>
      </c>
      <c r="G5" s="32">
        <f t="shared" si="1"/>
        <v>17</v>
      </c>
      <c r="H5" s="32">
        <f t="shared" si="1"/>
        <v>18</v>
      </c>
      <c r="I5" s="32">
        <f t="shared" si="1"/>
        <v>19</v>
      </c>
      <c r="J5" s="32">
        <f t="shared" si="1"/>
        <v>20</v>
      </c>
      <c r="K5" s="32">
        <f t="shared" si="1"/>
        <v>21</v>
      </c>
      <c r="M5" s="32">
        <v>23</v>
      </c>
      <c r="N5" s="32">
        <f>+M5</f>
        <v>23</v>
      </c>
      <c r="O5" s="32">
        <v>25</v>
      </c>
      <c r="P5" s="32">
        <v>26</v>
      </c>
      <c r="R5" s="845"/>
      <c r="S5" s="845"/>
      <c r="T5" s="845"/>
      <c r="U5" s="845"/>
      <c r="V5" s="845"/>
    </row>
    <row r="7" spans="1:22" ht="15" customHeight="1">
      <c r="D7" s="526"/>
      <c r="E7" s="815" t="str">
        <f>"Attachment 2: Data Summary and Detail Tables - "&amp;'Campus Selector'!$G$3</f>
        <v>Attachment 2: Data Summary and Detail Tables - Canton</v>
      </c>
      <c r="F7" s="815"/>
      <c r="G7" s="815"/>
      <c r="H7" s="815"/>
      <c r="I7" s="815"/>
      <c r="J7" s="815"/>
      <c r="K7" s="815"/>
      <c r="L7" s="815"/>
      <c r="M7" s="815"/>
      <c r="N7" s="815"/>
      <c r="O7" s="815"/>
      <c r="P7" s="815"/>
    </row>
    <row r="8" spans="1:22" ht="15" customHeight="1">
      <c r="D8" s="526"/>
      <c r="E8" s="816" t="s">
        <v>288</v>
      </c>
      <c r="F8" s="816"/>
      <c r="G8" s="816"/>
      <c r="H8" s="816"/>
      <c r="I8" s="816"/>
      <c r="J8" s="816"/>
      <c r="K8" s="816"/>
      <c r="L8" s="816"/>
      <c r="M8" s="816"/>
      <c r="N8" s="816"/>
      <c r="O8" s="816"/>
      <c r="P8" s="816"/>
    </row>
    <row r="9" spans="1:22" ht="15" customHeight="1">
      <c r="B9" s="47"/>
      <c r="C9" s="48"/>
      <c r="D9" s="526"/>
    </row>
    <row r="10" spans="1:22" ht="42.75" customHeight="1">
      <c r="B10" s="47" t="s">
        <v>253</v>
      </c>
      <c r="C10" s="48"/>
      <c r="D10" s="526"/>
      <c r="E10" s="715" t="s">
        <v>467</v>
      </c>
      <c r="F10" s="98" t="s">
        <v>262</v>
      </c>
      <c r="G10" s="98" t="s">
        <v>263</v>
      </c>
      <c r="H10" s="98" t="s">
        <v>264</v>
      </c>
      <c r="I10" s="98" t="s">
        <v>265</v>
      </c>
      <c r="J10" s="98" t="s">
        <v>266</v>
      </c>
      <c r="K10" s="98" t="s">
        <v>267</v>
      </c>
      <c r="L10" s="98" t="s">
        <v>39</v>
      </c>
      <c r="M10" s="98" t="s">
        <v>493</v>
      </c>
      <c r="N10" s="98" t="s">
        <v>437</v>
      </c>
      <c r="O10" s="98" t="s">
        <v>438</v>
      </c>
      <c r="P10" s="98" t="s">
        <v>439</v>
      </c>
    </row>
    <row r="11" spans="1:22" ht="15" customHeight="1">
      <c r="B11" s="47"/>
      <c r="C11" s="48"/>
      <c r="D11" s="526"/>
      <c r="E11" s="831" t="s">
        <v>43</v>
      </c>
      <c r="F11" s="832"/>
      <c r="G11" s="832"/>
      <c r="H11" s="832"/>
      <c r="I11" s="832"/>
      <c r="J11" s="832"/>
      <c r="K11" s="832"/>
      <c r="L11" s="832"/>
      <c r="M11" s="832"/>
      <c r="N11" s="832"/>
      <c r="O11" s="832"/>
      <c r="P11" s="833"/>
    </row>
    <row r="12" spans="1:22" ht="15" customHeight="1">
      <c r="C12" s="48"/>
      <c r="D12" s="526"/>
      <c r="E12" s="831" t="s">
        <v>576</v>
      </c>
      <c r="F12" s="832"/>
      <c r="G12" s="832"/>
      <c r="H12" s="832"/>
      <c r="I12" s="832"/>
      <c r="J12" s="832"/>
      <c r="K12" s="832"/>
      <c r="L12" s="832"/>
      <c r="M12" s="832"/>
      <c r="N12" s="832"/>
      <c r="O12" s="832"/>
      <c r="P12" s="833"/>
    </row>
    <row r="13" spans="1:22" ht="15" customHeight="1">
      <c r="B13" s="47"/>
      <c r="C13" s="48"/>
      <c r="D13" s="526"/>
      <c r="E13" s="195" t="s">
        <v>69</v>
      </c>
      <c r="F13" s="98">
        <v>2006</v>
      </c>
      <c r="G13" s="98">
        <v>2007</v>
      </c>
      <c r="H13" s="98">
        <v>2008</v>
      </c>
      <c r="I13" s="98">
        <v>2009</v>
      </c>
      <c r="J13" s="98">
        <v>2010</v>
      </c>
      <c r="K13" s="98">
        <v>2011</v>
      </c>
      <c r="L13" s="513"/>
      <c r="M13" s="98">
        <v>2012</v>
      </c>
      <c r="N13" s="98">
        <v>2012</v>
      </c>
      <c r="O13" s="98">
        <v>2015</v>
      </c>
      <c r="P13" s="98">
        <v>2017</v>
      </c>
    </row>
    <row r="14" spans="1:22" ht="15" customHeight="1">
      <c r="B14" s="44">
        <v>303</v>
      </c>
      <c r="C14" s="48" t="str">
        <f>TEXT($B$1,"00")&amp;"."&amp;TEXT($B14,"000")&amp;"."&amp;TEXT('Campus Selector'!$G$6,"00")</f>
        <v>10.303.25</v>
      </c>
      <c r="D14" s="526"/>
      <c r="E14" s="158" t="s">
        <v>315</v>
      </c>
      <c r="F14" s="202">
        <v>134</v>
      </c>
      <c r="G14" s="202">
        <v>151</v>
      </c>
      <c r="H14" s="202">
        <v>137</v>
      </c>
      <c r="I14" s="202">
        <v>122</v>
      </c>
      <c r="J14" s="202">
        <v>122</v>
      </c>
      <c r="K14" s="202">
        <v>149</v>
      </c>
      <c r="L14" s="72">
        <f>IF(ISERROR((+K14-F14)/F14),"-",(+K14-F14)/F14)</f>
        <v>0.11194029850746269</v>
      </c>
      <c r="M14" s="202">
        <v>110</v>
      </c>
      <c r="N14" s="762">
        <v>110</v>
      </c>
      <c r="O14" s="763">
        <v>96</v>
      </c>
      <c r="P14" s="746">
        <v>100</v>
      </c>
    </row>
    <row r="15" spans="1:22" ht="15" customHeight="1">
      <c r="B15" s="44">
        <v>144</v>
      </c>
      <c r="C15" s="48" t="str">
        <f>TEXT($B$1,"00")&amp;"."&amp;TEXT($B15,"000")&amp;"."&amp;TEXT('Campus Selector'!$G$6,"00")</f>
        <v>10.144.25</v>
      </c>
      <c r="D15" s="526"/>
      <c r="E15" s="158" t="s">
        <v>72</v>
      </c>
      <c r="F15" s="203">
        <v>4.4776119402985072E-2</v>
      </c>
      <c r="G15" s="203">
        <v>6.6225165562913912E-2</v>
      </c>
      <c r="H15" s="203">
        <v>8.7591240875912413E-2</v>
      </c>
      <c r="I15" s="203">
        <v>2.4590163934426229E-2</v>
      </c>
      <c r="J15" s="203">
        <v>6.5573770491803282E-2</v>
      </c>
      <c r="K15" s="203">
        <v>5.3691275167785234E-2</v>
      </c>
      <c r="L15" s="73" t="s">
        <v>327</v>
      </c>
      <c r="M15" s="203">
        <v>9.0909090909090912E-2</v>
      </c>
      <c r="N15" s="521">
        <v>0.1</v>
      </c>
      <c r="O15" s="764">
        <v>0.12</v>
      </c>
      <c r="P15" s="765">
        <v>0.12</v>
      </c>
    </row>
    <row r="16" spans="1:22" ht="15" customHeight="1">
      <c r="B16" s="44">
        <v>145</v>
      </c>
      <c r="C16" s="48" t="str">
        <f>TEXT($B$1,"00")&amp;"."&amp;TEXT($B16,"000")&amp;"."&amp;TEXT('Campus Selector'!$G$6,"00")</f>
        <v>10.145.25</v>
      </c>
      <c r="D16" s="526"/>
      <c r="E16" s="179" t="s">
        <v>70</v>
      </c>
      <c r="F16" s="498">
        <v>0.35820895522388058</v>
      </c>
      <c r="G16" s="498">
        <v>0.41721854304635764</v>
      </c>
      <c r="H16" s="498">
        <v>0.42335766423357662</v>
      </c>
      <c r="I16" s="498">
        <v>0.47540983606557374</v>
      </c>
      <c r="J16" s="498">
        <v>0.50819672131147542</v>
      </c>
      <c r="K16" s="498">
        <v>0.40939597315436244</v>
      </c>
      <c r="L16" s="311" t="s">
        <v>327</v>
      </c>
      <c r="M16" s="498">
        <v>0.49090909090909091</v>
      </c>
      <c r="N16" s="548">
        <v>0.49109999999999998</v>
      </c>
      <c r="O16" s="764">
        <v>0.52</v>
      </c>
      <c r="P16" s="765">
        <v>0.53</v>
      </c>
    </row>
    <row r="17" spans="2:16" ht="15" customHeight="1">
      <c r="B17" s="44">
        <v>146</v>
      </c>
      <c r="C17" s="48" t="str">
        <f>TEXT($B$1,"00")&amp;"."&amp;TEXT($B17,"000")&amp;"."&amp;TEXT('Campus Selector'!$G$6,"00")</f>
        <v>10.146.25</v>
      </c>
      <c r="D17" s="526"/>
      <c r="E17" s="92" t="s">
        <v>71</v>
      </c>
      <c r="F17" s="203">
        <v>0.47014925373134331</v>
      </c>
      <c r="G17" s="203">
        <v>0.46357615894039733</v>
      </c>
      <c r="H17" s="203">
        <v>0.54014598540145986</v>
      </c>
      <c r="I17" s="203">
        <v>0.54918032786885251</v>
      </c>
      <c r="J17" s="203">
        <v>0.54918032786885251</v>
      </c>
      <c r="K17" s="203">
        <v>0.52348993288590606</v>
      </c>
      <c r="L17" s="73" t="s">
        <v>327</v>
      </c>
      <c r="M17" s="515" t="s">
        <v>327</v>
      </c>
      <c r="N17" s="710">
        <v>0.6</v>
      </c>
      <c r="O17" s="764">
        <v>0.62</v>
      </c>
      <c r="P17" s="765">
        <v>0.63</v>
      </c>
    </row>
    <row r="18" spans="2:16" ht="6.95" customHeight="1">
      <c r="C18" s="48"/>
      <c r="D18" s="526"/>
      <c r="E18" s="157"/>
      <c r="F18" s="197"/>
      <c r="G18" s="197"/>
      <c r="H18" s="197"/>
      <c r="I18" s="197"/>
      <c r="J18" s="197"/>
      <c r="K18" s="197"/>
      <c r="L18" s="156"/>
      <c r="M18" s="156"/>
      <c r="N18" s="156"/>
      <c r="O18" s="156"/>
      <c r="P18" s="156"/>
    </row>
    <row r="19" spans="2:16" ht="15" customHeight="1">
      <c r="B19" s="47"/>
      <c r="C19" s="48"/>
      <c r="D19" s="526"/>
      <c r="E19" s="847" t="s">
        <v>25</v>
      </c>
      <c r="F19" s="848"/>
      <c r="G19" s="848"/>
      <c r="H19" s="848"/>
      <c r="I19" s="848"/>
      <c r="J19" s="848"/>
      <c r="K19" s="848"/>
      <c r="L19" s="848"/>
      <c r="M19" s="848"/>
      <c r="N19" s="848"/>
      <c r="O19" s="848"/>
      <c r="P19" s="849"/>
    </row>
    <row r="20" spans="2:16" ht="15" customHeight="1">
      <c r="B20" s="44">
        <v>144</v>
      </c>
      <c r="C20" s="48" t="str">
        <f>TEXT($B$1,"00")&amp;"."&amp;TEXT($B20,"000")&amp;"."&amp;TEXT('Campus Selector'!$J$9,"00")</f>
        <v>10.144.90</v>
      </c>
      <c r="D20" s="526"/>
      <c r="E20" s="249" t="s">
        <v>72</v>
      </c>
      <c r="F20" s="495">
        <v>3.7128712871287127E-2</v>
      </c>
      <c r="G20" s="495">
        <v>3.0341340075853349E-2</v>
      </c>
      <c r="H20" s="495">
        <v>3.6935704514363885E-2</v>
      </c>
      <c r="I20" s="495">
        <v>2.2784810126582278E-2</v>
      </c>
      <c r="J20" s="495">
        <v>2.9255319148936171E-2</v>
      </c>
      <c r="K20" s="495">
        <v>3.8028169014084505E-2</v>
      </c>
      <c r="L20" s="520" t="s">
        <v>327</v>
      </c>
      <c r="M20" s="520" t="s">
        <v>327</v>
      </c>
      <c r="N20" s="520" t="s">
        <v>327</v>
      </c>
      <c r="O20" s="520" t="s">
        <v>327</v>
      </c>
      <c r="P20" s="520" t="s">
        <v>327</v>
      </c>
    </row>
    <row r="21" spans="2:16" ht="15" customHeight="1">
      <c r="B21" s="44">
        <v>145</v>
      </c>
      <c r="C21" s="48" t="str">
        <f>TEXT($B$1,"00")&amp;"."&amp;TEXT($B21,"000")&amp;"."&amp;TEXT('Campus Selector'!$J$9,"00")</f>
        <v>10.145.90</v>
      </c>
      <c r="D21" s="526"/>
      <c r="E21" s="243" t="s">
        <v>70</v>
      </c>
      <c r="F21" s="495">
        <v>0.30569306930693069</v>
      </c>
      <c r="G21" s="495">
        <v>0.3552465233881163</v>
      </c>
      <c r="H21" s="495">
        <v>0.35020519835841313</v>
      </c>
      <c r="I21" s="495">
        <v>0.33417721518987342</v>
      </c>
      <c r="J21" s="495">
        <v>0.36968085106382981</v>
      </c>
      <c r="K21" s="495">
        <v>0.36760563380281691</v>
      </c>
      <c r="L21" s="520" t="s">
        <v>327</v>
      </c>
      <c r="M21" s="520" t="s">
        <v>327</v>
      </c>
      <c r="N21" s="520" t="s">
        <v>327</v>
      </c>
      <c r="O21" s="520" t="s">
        <v>327</v>
      </c>
      <c r="P21" s="520" t="s">
        <v>327</v>
      </c>
    </row>
    <row r="22" spans="2:16" ht="15" customHeight="1">
      <c r="B22" s="44">
        <v>146</v>
      </c>
      <c r="C22" s="48" t="str">
        <f>TEXT($B$1,"00")&amp;"."&amp;TEXT($B22,"000")&amp;"."&amp;TEXT('Campus Selector'!$J$9,"00")</f>
        <v>10.146.90</v>
      </c>
      <c r="D22" s="526"/>
      <c r="E22" s="243" t="s">
        <v>71</v>
      </c>
      <c r="F22" s="495">
        <v>0.38737623762376239</v>
      </c>
      <c r="G22" s="495">
        <v>0.41719342604298354</v>
      </c>
      <c r="H22" s="495">
        <v>0.44049247606019154</v>
      </c>
      <c r="I22" s="495">
        <v>0.42658227848101266</v>
      </c>
      <c r="J22" s="495">
        <v>0.45877659574468083</v>
      </c>
      <c r="K22" s="495">
        <v>0.46901408450704224</v>
      </c>
      <c r="L22" s="520" t="s">
        <v>327</v>
      </c>
      <c r="M22" s="520" t="s">
        <v>327</v>
      </c>
      <c r="N22" s="520" t="s">
        <v>327</v>
      </c>
      <c r="O22" s="520" t="s">
        <v>327</v>
      </c>
      <c r="P22" s="520" t="s">
        <v>327</v>
      </c>
    </row>
    <row r="23" spans="2:16" ht="6.95" customHeight="1">
      <c r="C23" s="48"/>
      <c r="D23" s="526"/>
      <c r="E23" s="157"/>
      <c r="F23" s="197"/>
      <c r="G23" s="197"/>
      <c r="H23" s="197"/>
      <c r="I23" s="197"/>
      <c r="J23" s="197"/>
      <c r="K23" s="197"/>
      <c r="L23" s="156"/>
      <c r="M23" s="156"/>
      <c r="N23" s="156"/>
      <c r="O23" s="156"/>
      <c r="P23" s="156"/>
    </row>
    <row r="24" spans="2:16" ht="15" customHeight="1">
      <c r="C24" s="48"/>
      <c r="D24" s="526"/>
      <c r="E24" s="831" t="s">
        <v>577</v>
      </c>
      <c r="F24" s="832"/>
      <c r="G24" s="832"/>
      <c r="H24" s="832"/>
      <c r="I24" s="832"/>
      <c r="J24" s="832"/>
      <c r="K24" s="832"/>
      <c r="L24" s="832"/>
      <c r="M24" s="832"/>
      <c r="N24" s="832"/>
      <c r="O24" s="832"/>
      <c r="P24" s="833"/>
    </row>
    <row r="25" spans="2:16" ht="15" customHeight="1">
      <c r="B25" s="47"/>
      <c r="C25" s="48"/>
      <c r="D25" s="526"/>
      <c r="E25" s="195" t="s">
        <v>69</v>
      </c>
      <c r="F25" s="98">
        <v>2005</v>
      </c>
      <c r="G25" s="98">
        <v>2006</v>
      </c>
      <c r="H25" s="98">
        <v>2007</v>
      </c>
      <c r="I25" s="98">
        <v>2008</v>
      </c>
      <c r="J25" s="98">
        <v>2009</v>
      </c>
      <c r="K25" s="98">
        <v>2010</v>
      </c>
      <c r="L25" s="513"/>
      <c r="M25" s="98">
        <v>2011</v>
      </c>
      <c r="N25" s="98">
        <v>2011</v>
      </c>
      <c r="O25" s="98">
        <v>2014</v>
      </c>
      <c r="P25" s="98">
        <v>2016</v>
      </c>
    </row>
    <row r="26" spans="2:16" ht="15" customHeight="1">
      <c r="B26" s="44">
        <v>302</v>
      </c>
      <c r="C26" s="48" t="str">
        <f>TEXT($B$1,"00")&amp;"."&amp;TEXT($B26,"000")&amp;"."&amp;TEXT('Campus Selector'!$G$6,"00")</f>
        <v>10.302.25</v>
      </c>
      <c r="D26" s="526"/>
      <c r="E26" s="158" t="s">
        <v>315</v>
      </c>
      <c r="F26" s="202">
        <v>18</v>
      </c>
      <c r="G26" s="202">
        <v>30</v>
      </c>
      <c r="H26" s="202">
        <v>45</v>
      </c>
      <c r="I26" s="202">
        <v>56</v>
      </c>
      <c r="J26" s="202">
        <v>51</v>
      </c>
      <c r="K26" s="202">
        <v>90</v>
      </c>
      <c r="L26" s="72">
        <f>IF(ISERROR((+K26-F26)/F26),"-",(+K26-F26)/F26)</f>
        <v>4</v>
      </c>
      <c r="M26" s="202">
        <v>119</v>
      </c>
      <c r="N26" s="762">
        <v>119</v>
      </c>
      <c r="O26" s="763">
        <v>135</v>
      </c>
      <c r="P26" s="746">
        <v>172</v>
      </c>
    </row>
    <row r="27" spans="2:16" ht="15" customHeight="1">
      <c r="B27" s="44">
        <v>148</v>
      </c>
      <c r="C27" s="48" t="str">
        <f>TEXT($B$1,"00")&amp;"."&amp;TEXT($B27,"000")&amp;"."&amp;TEXT('Campus Selector'!$G$6,"00")</f>
        <v>10.148.25</v>
      </c>
      <c r="D27" s="526"/>
      <c r="E27" s="158" t="s">
        <v>70</v>
      </c>
      <c r="F27" s="203">
        <v>0.22222222222222221</v>
      </c>
      <c r="G27" s="203">
        <v>0.13333333333333333</v>
      </c>
      <c r="H27" s="203">
        <v>0.1111111111111111</v>
      </c>
      <c r="I27" s="203">
        <v>0.14285714285714285</v>
      </c>
      <c r="J27" s="203">
        <v>0.11764705882352941</v>
      </c>
      <c r="K27" s="203">
        <v>0.23333333333333334</v>
      </c>
      <c r="L27" s="73" t="s">
        <v>327</v>
      </c>
      <c r="M27" s="203">
        <v>0.19327731092436976</v>
      </c>
      <c r="N27" s="521">
        <v>0.2</v>
      </c>
      <c r="O27" s="764">
        <v>0.22</v>
      </c>
      <c r="P27" s="765">
        <v>0.23</v>
      </c>
    </row>
    <row r="28" spans="2:16" ht="15" customHeight="1">
      <c r="B28" s="44">
        <v>149</v>
      </c>
      <c r="C28" s="48" t="str">
        <f>TEXT($B$1,"00")&amp;"."&amp;TEXT($B28,"000")&amp;"."&amp;TEXT('Campus Selector'!$G$6,"00")</f>
        <v>10.149.25</v>
      </c>
      <c r="D28" s="526"/>
      <c r="E28" s="92" t="s">
        <v>71</v>
      </c>
      <c r="F28" s="203">
        <v>0.3888888888888889</v>
      </c>
      <c r="G28" s="203">
        <v>0.26666666666666666</v>
      </c>
      <c r="H28" s="203">
        <v>0.28888888888888886</v>
      </c>
      <c r="I28" s="203">
        <v>0.4107142857142857</v>
      </c>
      <c r="J28" s="203">
        <v>0.37254901960784315</v>
      </c>
      <c r="K28" s="203">
        <v>0.52222222222222225</v>
      </c>
      <c r="L28" s="73" t="s">
        <v>327</v>
      </c>
      <c r="M28" s="203">
        <v>0.43697478991596639</v>
      </c>
      <c r="N28" s="522">
        <v>0.45800000000000002</v>
      </c>
      <c r="O28" s="764">
        <v>0.47</v>
      </c>
      <c r="P28" s="765">
        <v>0.48</v>
      </c>
    </row>
    <row r="29" spans="2:16" ht="15" customHeight="1">
      <c r="B29" s="44">
        <v>150</v>
      </c>
      <c r="C29" s="48" t="str">
        <f>TEXT($B$1,"00")&amp;"."&amp;TEXT($B29,"000")&amp;"."&amp;TEXT('Campus Selector'!$G$6,"00")</f>
        <v>10.150.25</v>
      </c>
      <c r="D29" s="526"/>
      <c r="E29" s="179" t="s">
        <v>10</v>
      </c>
      <c r="F29" s="498">
        <v>0.44444444444444442</v>
      </c>
      <c r="G29" s="498">
        <v>0.4</v>
      </c>
      <c r="H29" s="498">
        <v>0.42222222222222222</v>
      </c>
      <c r="I29" s="498">
        <v>0.48214285714285715</v>
      </c>
      <c r="J29" s="498">
        <v>0.43137254901960786</v>
      </c>
      <c r="K29" s="498">
        <v>0.57777777777777772</v>
      </c>
      <c r="L29" s="311" t="s">
        <v>327</v>
      </c>
      <c r="M29" s="514" t="s">
        <v>327</v>
      </c>
      <c r="N29" s="548">
        <v>0.58299999999999996</v>
      </c>
      <c r="O29" s="764">
        <v>0.59</v>
      </c>
      <c r="P29" s="765">
        <v>0.6</v>
      </c>
    </row>
    <row r="30" spans="2:16" ht="15" customHeight="1">
      <c r="C30" s="48"/>
      <c r="D30" s="526"/>
      <c r="E30" s="137"/>
      <c r="F30" s="137"/>
      <c r="G30" s="137"/>
      <c r="H30" s="137"/>
      <c r="I30" s="137"/>
      <c r="J30" s="137"/>
      <c r="K30" s="118"/>
      <c r="L30" s="118"/>
      <c r="M30" s="118"/>
      <c r="N30" s="118"/>
      <c r="O30" s="118"/>
      <c r="P30" s="118"/>
    </row>
    <row r="31" spans="2:16" ht="15" customHeight="1">
      <c r="B31" s="47"/>
      <c r="C31" s="48"/>
      <c r="D31" s="526"/>
      <c r="E31" s="847" t="s">
        <v>25</v>
      </c>
      <c r="F31" s="848"/>
      <c r="G31" s="848"/>
      <c r="H31" s="848"/>
      <c r="I31" s="848"/>
      <c r="J31" s="848"/>
      <c r="K31" s="848"/>
      <c r="L31" s="848"/>
      <c r="M31" s="848"/>
      <c r="N31" s="848"/>
      <c r="O31" s="848"/>
      <c r="P31" s="849"/>
    </row>
    <row r="32" spans="2:16" ht="15" customHeight="1">
      <c r="B32" s="44">
        <v>148</v>
      </c>
      <c r="C32" s="48" t="str">
        <f>TEXT($B$1,"00")&amp;"."&amp;TEXT($B32,"000")&amp;"."&amp;TEXT('Campus Selector'!$J$9,"00")</f>
        <v>10.148.90</v>
      </c>
      <c r="D32" s="526"/>
      <c r="E32" s="249" t="s">
        <v>70</v>
      </c>
      <c r="F32" s="495">
        <v>0.1769815418023887</v>
      </c>
      <c r="G32" s="495">
        <v>0.18835978835978837</v>
      </c>
      <c r="H32" s="495">
        <v>0.18120805369127516</v>
      </c>
      <c r="I32" s="495">
        <v>0.16652649285113541</v>
      </c>
      <c r="J32" s="495">
        <v>0.18553459119496854</v>
      </c>
      <c r="K32" s="495">
        <v>0.20146520146520147</v>
      </c>
      <c r="L32" s="520" t="s">
        <v>327</v>
      </c>
      <c r="M32" s="520" t="s">
        <v>327</v>
      </c>
      <c r="N32" s="520" t="s">
        <v>327</v>
      </c>
      <c r="O32" s="520" t="s">
        <v>327</v>
      </c>
      <c r="P32" s="520" t="s">
        <v>327</v>
      </c>
    </row>
    <row r="33" spans="2:16" ht="15" customHeight="1">
      <c r="B33" s="44">
        <v>149</v>
      </c>
      <c r="C33" s="48" t="str">
        <f>TEXT($B$1,"00")&amp;"."&amp;TEXT($B33,"000")&amp;"."&amp;TEXT('Campus Selector'!$J$9,"00")</f>
        <v>10.149.90</v>
      </c>
      <c r="D33" s="526"/>
      <c r="E33" s="243" t="s">
        <v>71</v>
      </c>
      <c r="F33" s="495">
        <v>0.40390879478827363</v>
      </c>
      <c r="G33" s="495">
        <v>0.42751322751322751</v>
      </c>
      <c r="H33" s="495">
        <v>0.4103547459252157</v>
      </c>
      <c r="I33" s="495">
        <v>0.4028595458368377</v>
      </c>
      <c r="J33" s="495">
        <v>0.43553459119496857</v>
      </c>
      <c r="K33" s="495">
        <v>0.46080586080586078</v>
      </c>
      <c r="L33" s="520" t="s">
        <v>327</v>
      </c>
      <c r="M33" s="520" t="s">
        <v>327</v>
      </c>
      <c r="N33" s="520" t="s">
        <v>327</v>
      </c>
      <c r="O33" s="520" t="s">
        <v>327</v>
      </c>
      <c r="P33" s="520" t="s">
        <v>327</v>
      </c>
    </row>
    <row r="34" spans="2:16" ht="15" customHeight="1">
      <c r="B34" s="44">
        <v>150</v>
      </c>
      <c r="C34" s="48" t="str">
        <f>TEXT($B$1,"00")&amp;"."&amp;TEXT($B34,"000")&amp;"."&amp;TEXT('Campus Selector'!$J$9,"00")</f>
        <v>10.150.90</v>
      </c>
      <c r="D34" s="526"/>
      <c r="E34" s="243" t="s">
        <v>10</v>
      </c>
      <c r="F34" s="495">
        <v>0.50705754614549403</v>
      </c>
      <c r="G34" s="495">
        <v>0.54391534391534391</v>
      </c>
      <c r="H34" s="495">
        <v>0.5206136145733461</v>
      </c>
      <c r="I34" s="495">
        <v>0.51724137931034486</v>
      </c>
      <c r="J34" s="495">
        <v>0.5573899371069182</v>
      </c>
      <c r="K34" s="495">
        <v>0</v>
      </c>
      <c r="L34" s="520" t="s">
        <v>327</v>
      </c>
      <c r="M34" s="520" t="s">
        <v>327</v>
      </c>
      <c r="N34" s="520" t="s">
        <v>327</v>
      </c>
      <c r="O34" s="520" t="s">
        <v>327</v>
      </c>
      <c r="P34" s="520" t="s">
        <v>327</v>
      </c>
    </row>
    <row r="35" spans="2:16" ht="6.95" customHeight="1">
      <c r="D35" s="526"/>
      <c r="E35" s="827"/>
      <c r="F35" s="827"/>
      <c r="G35" s="827"/>
      <c r="H35" s="827"/>
      <c r="I35" s="827"/>
      <c r="J35" s="827"/>
      <c r="K35" s="827"/>
      <c r="L35" s="827"/>
      <c r="M35" s="704"/>
      <c r="N35" s="704"/>
      <c r="O35" s="118"/>
      <c r="P35" s="118"/>
    </row>
    <row r="36" spans="2:16" ht="15" customHeight="1">
      <c r="D36" s="526"/>
      <c r="E36" s="137" t="s">
        <v>498</v>
      </c>
      <c r="F36" s="137"/>
      <c r="G36" s="137"/>
      <c r="H36" s="137"/>
      <c r="I36" s="137"/>
      <c r="J36" s="137"/>
      <c r="K36" s="118"/>
      <c r="L36" s="118"/>
      <c r="M36" s="118"/>
      <c r="N36" s="118"/>
      <c r="O36" s="118"/>
      <c r="P36" s="118"/>
    </row>
    <row r="37" spans="2:16" ht="6.95" customHeight="1">
      <c r="D37" s="526"/>
      <c r="E37" s="827"/>
      <c r="F37" s="827"/>
      <c r="G37" s="827"/>
      <c r="H37" s="827"/>
      <c r="I37" s="827"/>
      <c r="J37" s="827"/>
      <c r="K37" s="827"/>
      <c r="L37" s="827"/>
      <c r="M37" s="704"/>
      <c r="N37" s="704"/>
      <c r="O37" s="118"/>
      <c r="P37" s="118"/>
    </row>
    <row r="38" spans="2:16" ht="15" customHeight="1">
      <c r="D38" s="526"/>
      <c r="E38" s="121" t="s">
        <v>260</v>
      </c>
      <c r="F38" s="122"/>
      <c r="G38" s="123"/>
      <c r="H38" s="122"/>
      <c r="I38" s="122"/>
      <c r="J38" s="122"/>
      <c r="K38" s="123"/>
      <c r="L38" s="124"/>
      <c r="M38" s="124"/>
      <c r="N38" s="124"/>
      <c r="O38" s="124"/>
      <c r="P38" s="124"/>
    </row>
    <row r="39" spans="2:16" ht="15" customHeight="1">
      <c r="D39" s="526"/>
      <c r="E39" s="846" t="s">
        <v>731</v>
      </c>
      <c r="F39" s="846"/>
      <c r="G39" s="846"/>
      <c r="H39" s="846"/>
      <c r="I39" s="846"/>
      <c r="J39" s="846"/>
      <c r="K39" s="846"/>
      <c r="L39" s="846"/>
      <c r="M39" s="846"/>
      <c r="N39" s="846"/>
      <c r="O39" s="846"/>
      <c r="P39" s="846"/>
    </row>
    <row r="40" spans="2:16" ht="15" customHeight="1">
      <c r="D40" s="526"/>
      <c r="E40" s="846"/>
      <c r="F40" s="846"/>
      <c r="G40" s="846"/>
      <c r="H40" s="846"/>
      <c r="I40" s="846"/>
      <c r="J40" s="846"/>
      <c r="K40" s="846"/>
      <c r="L40" s="846"/>
      <c r="M40" s="846"/>
      <c r="N40" s="846"/>
      <c r="O40" s="846"/>
      <c r="P40" s="846"/>
    </row>
    <row r="41" spans="2:16" ht="15" customHeight="1">
      <c r="D41" s="526"/>
    </row>
    <row r="42" spans="2:16" ht="15" customHeight="1">
      <c r="D42" s="526"/>
    </row>
    <row r="43" spans="2:16" ht="15" customHeight="1">
      <c r="D43" s="526"/>
    </row>
    <row r="44" spans="2:16" ht="15" customHeight="1">
      <c r="D44" s="526"/>
    </row>
    <row r="45" spans="2:16" ht="15" customHeight="1">
      <c r="D45" s="526"/>
    </row>
    <row r="46" spans="2:16" ht="15" customHeight="1">
      <c r="D46" s="526"/>
    </row>
    <row r="47" spans="2:16" ht="15" customHeight="1">
      <c r="D47" s="526"/>
    </row>
    <row r="48" spans="2:16" ht="15" customHeight="1">
      <c r="D48" s="526"/>
    </row>
    <row r="49" spans="4:4" ht="15" customHeight="1">
      <c r="D49" s="526"/>
    </row>
    <row r="50" spans="4:4" ht="15" customHeight="1">
      <c r="D50" s="526"/>
    </row>
    <row r="51" spans="4:4" ht="15" customHeight="1">
      <c r="D51" s="526"/>
    </row>
  </sheetData>
  <mergeCells count="11">
    <mergeCell ref="R5:V5"/>
    <mergeCell ref="E39:P40"/>
    <mergeCell ref="E35:L35"/>
    <mergeCell ref="E37:L37"/>
    <mergeCell ref="E7:P7"/>
    <mergeCell ref="E8:P8"/>
    <mergeCell ref="E11:P11"/>
    <mergeCell ref="E31:P31"/>
    <mergeCell ref="E12:P12"/>
    <mergeCell ref="E24:P24"/>
    <mergeCell ref="E19:P19"/>
  </mergeCells>
  <printOptions horizontalCentered="1"/>
  <pageMargins left="0.2" right="0.2" top="0.5" bottom="0.5" header="0.3" footer="0.3"/>
  <pageSetup scale="95" fitToWidth="0" orientation="landscape" horizontalDpi="300" verticalDpi="300" r:id="rId1"/>
  <headerFooter alignWithMargins="0">
    <oddFooter>&amp;LState University of New York System Administration&amp;R&amp;G</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1:V54"/>
  <sheetViews>
    <sheetView showGridLines="0" topLeftCell="D3" zoomScaleNormal="100" workbookViewId="0">
      <selection activeCell="T37" sqref="T37"/>
    </sheetView>
  </sheetViews>
  <sheetFormatPr defaultColWidth="9.140625" defaultRowHeight="15" customHeight="1"/>
  <cols>
    <col min="1" max="1" width="9.140625" style="32" hidden="1" customWidth="1"/>
    <col min="2" max="2" width="8" style="44" hidden="1" customWidth="1"/>
    <col min="3" max="3" width="13.7109375" style="32" hidden="1" customWidth="1"/>
    <col min="4" max="4" width="10" style="50" customWidth="1"/>
    <col min="5" max="5" width="32.85546875" style="1" customWidth="1"/>
    <col min="6" max="14" width="10" style="53" customWidth="1"/>
    <col min="15" max="16384" width="9.140625" style="1"/>
  </cols>
  <sheetData>
    <row r="1" spans="1:22" s="32" customFormat="1" ht="15" hidden="1" customHeight="1">
      <c r="A1" s="32" t="s">
        <v>254</v>
      </c>
      <c r="B1" s="44">
        <v>1</v>
      </c>
      <c r="F1" s="44">
        <v>19</v>
      </c>
      <c r="G1" s="44">
        <f>F1+1</f>
        <v>20</v>
      </c>
      <c r="H1" s="44">
        <f>G1+1</f>
        <v>21</v>
      </c>
      <c r="I1" s="44">
        <f>H1+1</f>
        <v>22</v>
      </c>
      <c r="J1" s="44">
        <f>I1+1</f>
        <v>23</v>
      </c>
      <c r="K1" s="44">
        <f>J1+1</f>
        <v>24</v>
      </c>
      <c r="L1" s="45"/>
      <c r="M1" s="45">
        <v>27</v>
      </c>
      <c r="N1" s="32">
        <f>M1+1</f>
        <v>28</v>
      </c>
    </row>
    <row r="2" spans="1:22" s="32" customFormat="1" ht="15" hidden="1" customHeight="1">
      <c r="B2" s="44"/>
      <c r="F2" s="44">
        <v>17</v>
      </c>
      <c r="G2" s="44">
        <f>+F2+1</f>
        <v>18</v>
      </c>
      <c r="H2" s="44">
        <f>+G2+1</f>
        <v>19</v>
      </c>
      <c r="I2" s="44">
        <f>+H2+1</f>
        <v>20</v>
      </c>
      <c r="J2" s="44">
        <f>+I2+1</f>
        <v>21</v>
      </c>
      <c r="K2" s="44">
        <f>+J2+1</f>
        <v>22</v>
      </c>
      <c r="M2" s="32">
        <v>25</v>
      </c>
      <c r="N2" s="32">
        <f>+M2+1</f>
        <v>26</v>
      </c>
    </row>
    <row r="4" spans="1:22" ht="15" customHeight="1">
      <c r="E4" s="815" t="str">
        <f>"Attachment 2: Data Summary and Detail Tables - "&amp;'Campus Selector'!$G$3</f>
        <v>Attachment 2: Data Summary and Detail Tables - Canton</v>
      </c>
      <c r="F4" s="815"/>
      <c r="G4" s="815"/>
      <c r="H4" s="815"/>
      <c r="I4" s="815"/>
      <c r="J4" s="815"/>
      <c r="K4" s="815"/>
      <c r="L4" s="815"/>
      <c r="M4" s="815"/>
      <c r="N4" s="815"/>
    </row>
    <row r="5" spans="1:22" ht="33.75" customHeight="1">
      <c r="E5" s="850" t="s">
        <v>356</v>
      </c>
      <c r="F5" s="816"/>
      <c r="G5" s="816"/>
      <c r="H5" s="816"/>
      <c r="I5" s="816"/>
      <c r="J5" s="816"/>
      <c r="K5" s="816"/>
      <c r="L5" s="816"/>
      <c r="M5" s="816"/>
      <c r="N5" s="816"/>
      <c r="R5" s="813"/>
      <c r="S5" s="813"/>
      <c r="T5" s="813"/>
      <c r="U5" s="813"/>
      <c r="V5" s="813"/>
    </row>
    <row r="6" spans="1:22" ht="15" customHeight="1">
      <c r="B6" s="47" t="s">
        <v>253</v>
      </c>
      <c r="C6" s="48"/>
    </row>
    <row r="7" spans="1:22" ht="41.25" customHeight="1">
      <c r="B7" s="47"/>
      <c r="C7" s="48"/>
      <c r="D7" s="526"/>
      <c r="E7" s="715" t="s">
        <v>468</v>
      </c>
      <c r="F7" s="98" t="s">
        <v>38</v>
      </c>
      <c r="G7" s="98" t="s">
        <v>64</v>
      </c>
      <c r="H7" s="98" t="s">
        <v>65</v>
      </c>
      <c r="I7" s="98" t="s">
        <v>66</v>
      </c>
      <c r="J7" s="98" t="s">
        <v>67</v>
      </c>
      <c r="K7" s="98" t="s">
        <v>68</v>
      </c>
      <c r="L7" s="98" t="s">
        <v>39</v>
      </c>
      <c r="M7" s="98" t="s">
        <v>424</v>
      </c>
      <c r="N7" s="98" t="s">
        <v>425</v>
      </c>
    </row>
    <row r="8" spans="1:22" ht="15" customHeight="1">
      <c r="B8" s="47"/>
      <c r="C8" s="48"/>
      <c r="D8" s="526"/>
      <c r="E8" s="831" t="s">
        <v>352</v>
      </c>
      <c r="F8" s="832"/>
      <c r="G8" s="832"/>
      <c r="H8" s="832"/>
      <c r="I8" s="832"/>
      <c r="J8" s="832"/>
      <c r="K8" s="832"/>
      <c r="L8" s="832"/>
      <c r="M8" s="705"/>
      <c r="N8" s="706"/>
    </row>
    <row r="9" spans="1:22" ht="15" customHeight="1">
      <c r="B9" s="47"/>
      <c r="C9" s="48"/>
      <c r="D9" s="526"/>
      <c r="E9" s="854" t="s">
        <v>43</v>
      </c>
      <c r="F9" s="855"/>
      <c r="G9" s="855"/>
      <c r="H9" s="855"/>
      <c r="I9" s="855"/>
      <c r="J9" s="855"/>
      <c r="K9" s="855"/>
      <c r="L9" s="855"/>
      <c r="M9" s="206"/>
      <c r="N9" s="207"/>
    </row>
    <row r="10" spans="1:22" s="290" customFormat="1" ht="15" customHeight="1">
      <c r="A10" s="159"/>
      <c r="B10" s="44">
        <v>2</v>
      </c>
      <c r="C10" s="48" t="str">
        <f>TEXT($B$1,"00")&amp;"."&amp;TEXT($B10,"000")&amp;"."&amp;TEXT('Campus Selector'!$G$6,"00")</f>
        <v>01.002.25</v>
      </c>
      <c r="D10" s="526"/>
      <c r="E10" s="134" t="s">
        <v>44</v>
      </c>
      <c r="F10" s="315">
        <v>3.0493197278911599</v>
      </c>
      <c r="G10" s="315">
        <v>2.9622222222222199</v>
      </c>
      <c r="H10" s="315">
        <v>3.0370967741935502</v>
      </c>
      <c r="I10" s="315">
        <v>3.0493421052631602</v>
      </c>
      <c r="J10" s="316">
        <v>3.2010869565217401</v>
      </c>
      <c r="K10" s="316">
        <v>3.1202749140893502</v>
      </c>
      <c r="L10" s="99">
        <f>IF(ISERROR((+K10-F10)/F10),"-",(+K10-F10)/F10)</f>
        <v>2.3269185434766231E-2</v>
      </c>
      <c r="M10" s="711">
        <v>3.05</v>
      </c>
      <c r="N10" s="759">
        <v>3</v>
      </c>
    </row>
    <row r="11" spans="1:22" s="290" customFormat="1" ht="15" customHeight="1">
      <c r="A11" s="159"/>
      <c r="B11" s="44">
        <v>3</v>
      </c>
      <c r="C11" s="48" t="str">
        <f>TEXT($B$1,"00")&amp;"."&amp;TEXT($B11,"000")&amp;"."&amp;TEXT('Campus Selector'!$G$6,"00")</f>
        <v>01.003.25</v>
      </c>
      <c r="D11" s="526"/>
      <c r="E11" s="134" t="s">
        <v>45</v>
      </c>
      <c r="F11" s="315">
        <v>2.4034090909090899</v>
      </c>
      <c r="G11" s="315">
        <v>2.6382978723404298</v>
      </c>
      <c r="H11" s="315">
        <v>2.4472049689440998</v>
      </c>
      <c r="I11" s="315">
        <v>2.4896551724137899</v>
      </c>
      <c r="J11" s="316">
        <v>2.6752136752136799</v>
      </c>
      <c r="K11" s="316">
        <v>2.8259259259259299</v>
      </c>
      <c r="L11" s="99">
        <f>IF(ISERROR((+K11-F11)/F11),"-",(+K11-F11)/F11)</f>
        <v>0.17579896681551743</v>
      </c>
      <c r="M11" s="711">
        <v>2.6</v>
      </c>
      <c r="N11" s="759">
        <v>2.5</v>
      </c>
    </row>
    <row r="12" spans="1:22" ht="15" customHeight="1">
      <c r="B12" s="47"/>
      <c r="C12" s="48"/>
      <c r="D12" s="526"/>
      <c r="E12" s="851" t="s">
        <v>25</v>
      </c>
      <c r="F12" s="852"/>
      <c r="G12" s="852"/>
      <c r="H12" s="852"/>
      <c r="I12" s="852"/>
      <c r="J12" s="852"/>
      <c r="K12" s="852"/>
      <c r="L12" s="852"/>
      <c r="M12" s="852"/>
      <c r="N12" s="853"/>
    </row>
    <row r="13" spans="1:22" ht="15" customHeight="1">
      <c r="B13" s="44">
        <v>2</v>
      </c>
      <c r="C13" s="48" t="str">
        <f>TEXT($B$1,"00")&amp;"."&amp;TEXT($B13,"000")&amp;"."&amp;TEXT('Campus Selector'!$J$9,"00")</f>
        <v>01.002.90</v>
      </c>
      <c r="D13" s="526"/>
      <c r="E13" s="243" t="s">
        <v>44</v>
      </c>
      <c r="F13" s="319">
        <v>2.7681628875520601</v>
      </c>
      <c r="G13" s="319">
        <v>2.7743462578899898</v>
      </c>
      <c r="H13" s="319">
        <v>2.7829002514668901</v>
      </c>
      <c r="I13" s="319">
        <v>2.8719590268886002</v>
      </c>
      <c r="J13" s="320">
        <v>2.8699731903485302</v>
      </c>
      <c r="K13" s="320">
        <v>2.9214997070884601</v>
      </c>
      <c r="L13" s="248">
        <f>(+K13-F13)/F13</f>
        <v>5.5392990140113722E-2</v>
      </c>
      <c r="M13" s="323" t="s">
        <v>327</v>
      </c>
      <c r="N13" s="323" t="s">
        <v>327</v>
      </c>
    </row>
    <row r="14" spans="1:22" ht="15" customHeight="1">
      <c r="B14" s="44">
        <v>3</v>
      </c>
      <c r="C14" s="48" t="str">
        <f>TEXT($B$1,"00")&amp;"."&amp;TEXT($B14,"000")&amp;"."&amp;TEXT('Campus Selector'!$J$9,"00")</f>
        <v>01.003.90</v>
      </c>
      <c r="D14" s="526"/>
      <c r="E14" s="243" t="s">
        <v>45</v>
      </c>
      <c r="F14" s="319">
        <v>2.4057142857142901</v>
      </c>
      <c r="G14" s="319">
        <v>2.4620253164557</v>
      </c>
      <c r="H14" s="319">
        <v>2.4896331738436999</v>
      </c>
      <c r="I14" s="319">
        <v>2.3168831168831199</v>
      </c>
      <c r="J14" s="320">
        <v>2.6705426356589101</v>
      </c>
      <c r="K14" s="320">
        <v>2.69587628865979</v>
      </c>
      <c r="L14" s="248">
        <f>(+K14-F14)/F14</f>
        <v>0.12061365918162087</v>
      </c>
      <c r="M14" s="323" t="s">
        <v>327</v>
      </c>
      <c r="N14" s="323" t="s">
        <v>327</v>
      </c>
    </row>
    <row r="15" spans="1:22" ht="15" customHeight="1">
      <c r="C15" s="48"/>
      <c r="D15" s="526"/>
      <c r="E15" s="137"/>
      <c r="F15" s="126"/>
      <c r="G15" s="126"/>
      <c r="H15" s="126"/>
      <c r="I15" s="126"/>
      <c r="J15" s="126"/>
      <c r="K15" s="126"/>
      <c r="L15" s="128"/>
      <c r="M15" s="128"/>
      <c r="N15" s="128"/>
    </row>
    <row r="16" spans="1:22" ht="15" customHeight="1">
      <c r="B16" s="47"/>
      <c r="C16" s="48"/>
      <c r="D16" s="526"/>
      <c r="E16" s="856" t="s">
        <v>353</v>
      </c>
      <c r="F16" s="857"/>
      <c r="G16" s="857"/>
      <c r="H16" s="857"/>
      <c r="I16" s="857"/>
      <c r="J16" s="857"/>
      <c r="K16" s="857"/>
      <c r="L16" s="858"/>
      <c r="M16" s="705"/>
      <c r="N16" s="706"/>
    </row>
    <row r="17" spans="1:14" ht="15" customHeight="1">
      <c r="B17" s="47"/>
      <c r="C17" s="48"/>
      <c r="D17" s="526"/>
      <c r="E17" s="854" t="s">
        <v>43</v>
      </c>
      <c r="F17" s="855"/>
      <c r="G17" s="855"/>
      <c r="H17" s="855"/>
      <c r="I17" s="855"/>
      <c r="J17" s="855"/>
      <c r="K17" s="855"/>
      <c r="L17" s="859"/>
      <c r="M17" s="206"/>
      <c r="N17" s="207"/>
    </row>
    <row r="18" spans="1:14" s="290" customFormat="1" ht="15" customHeight="1">
      <c r="A18" s="159"/>
      <c r="B18" s="44">
        <v>5</v>
      </c>
      <c r="C18" s="48" t="str">
        <f>TEXT($B$1,"00")&amp;"."&amp;TEXT($B18,"000")&amp;"."&amp;TEXT('Campus Selector'!$G$6,"00")</f>
        <v>01.005.25</v>
      </c>
      <c r="D18" s="526"/>
      <c r="E18" s="134" t="s">
        <v>44</v>
      </c>
      <c r="F18" s="317">
        <v>68.937254901960799</v>
      </c>
      <c r="G18" s="317">
        <v>68.678756476683901</v>
      </c>
      <c r="H18" s="317">
        <v>67.5169811320755</v>
      </c>
      <c r="I18" s="317">
        <v>69.559259259259306</v>
      </c>
      <c r="J18" s="318">
        <v>70.412017167382004</v>
      </c>
      <c r="K18" s="318">
        <v>70.920833333333306</v>
      </c>
      <c r="L18" s="99">
        <f>IF(ISERROR((+K18-F18)/F18),"-",(+K18-F18)/F18)</f>
        <v>2.877367882132028E-2</v>
      </c>
      <c r="M18" s="760">
        <v>68</v>
      </c>
      <c r="N18" s="761">
        <v>66</v>
      </c>
    </row>
    <row r="19" spans="1:14" s="290" customFormat="1" ht="15" customHeight="1">
      <c r="A19" s="159"/>
      <c r="B19" s="44">
        <v>6</v>
      </c>
      <c r="C19" s="48" t="str">
        <f>TEXT($B$1,"00")&amp;"."&amp;TEXT($B19,"000")&amp;"."&amp;TEXT('Campus Selector'!$G$6,"00")</f>
        <v>01.006.25</v>
      </c>
      <c r="D19" s="526"/>
      <c r="E19" s="134" t="s">
        <v>45</v>
      </c>
      <c r="F19" s="317">
        <v>69.045454545454504</v>
      </c>
      <c r="G19" s="317">
        <v>69.730158730158706</v>
      </c>
      <c r="H19" s="317">
        <v>70.2177419354839</v>
      </c>
      <c r="I19" s="317">
        <v>74.586666666666702</v>
      </c>
      <c r="J19" s="318">
        <v>77.195652173913004</v>
      </c>
      <c r="K19" s="318">
        <v>74.415094339622598</v>
      </c>
      <c r="L19" s="99">
        <f>IF(ISERROR((+K19-F19)/F19),"-",(+K19-F19)/F19)</f>
        <v>7.776963493857679E-2</v>
      </c>
      <c r="M19" s="760">
        <v>73</v>
      </c>
      <c r="N19" s="761">
        <v>72</v>
      </c>
    </row>
    <row r="20" spans="1:14" ht="15" customHeight="1">
      <c r="B20" s="47"/>
      <c r="C20" s="48"/>
      <c r="D20" s="526"/>
      <c r="E20" s="851" t="s">
        <v>25</v>
      </c>
      <c r="F20" s="852"/>
      <c r="G20" s="852"/>
      <c r="H20" s="852"/>
      <c r="I20" s="852"/>
      <c r="J20" s="852"/>
      <c r="K20" s="852"/>
      <c r="L20" s="853"/>
      <c r="M20" s="403"/>
      <c r="N20" s="404"/>
    </row>
    <row r="21" spans="1:14" ht="15" customHeight="1">
      <c r="B21" s="44">
        <v>5</v>
      </c>
      <c r="C21" s="48" t="str">
        <f>TEXT($B$1,"00")&amp;"."&amp;TEXT($B21,"000")&amp;"."&amp;TEXT('Campus Selector'!$J$9,"00")</f>
        <v>01.005.90</v>
      </c>
      <c r="D21" s="526"/>
      <c r="E21" s="243" t="s">
        <v>44</v>
      </c>
      <c r="F21" s="321">
        <v>70.761339092872603</v>
      </c>
      <c r="G21" s="321">
        <v>71.017524644030701</v>
      </c>
      <c r="H21" s="321">
        <v>70.160278745644604</v>
      </c>
      <c r="I21" s="321">
        <v>70.534170854271395</v>
      </c>
      <c r="J21" s="322">
        <v>70.687759336099603</v>
      </c>
      <c r="K21" s="322">
        <v>70.388811188811204</v>
      </c>
      <c r="L21" s="248">
        <f>(+K21-F21)/F21</f>
        <v>-5.2645683198909738E-3</v>
      </c>
      <c r="M21" s="323" t="s">
        <v>327</v>
      </c>
      <c r="N21" s="323" t="s">
        <v>327</v>
      </c>
    </row>
    <row r="22" spans="1:14" ht="15" customHeight="1">
      <c r="B22" s="44">
        <v>6</v>
      </c>
      <c r="C22" s="48" t="str">
        <f>TEXT($B$1,"00")&amp;"."&amp;TEXT($B22,"000")&amp;"."&amp;TEXT('Campus Selector'!$J$9,"00")</f>
        <v>01.006.90</v>
      </c>
      <c r="D22" s="526"/>
      <c r="E22" s="243" t="s">
        <v>45</v>
      </c>
      <c r="F22" s="321">
        <v>73.330357142857096</v>
      </c>
      <c r="G22" s="321">
        <v>72.631790744466798</v>
      </c>
      <c r="H22" s="321">
        <v>72.842794759825296</v>
      </c>
      <c r="I22" s="321">
        <v>74.6152450090744</v>
      </c>
      <c r="J22" s="322">
        <v>74.457286432160799</v>
      </c>
      <c r="K22" s="322">
        <v>74.962857142857203</v>
      </c>
      <c r="L22" s="248">
        <f>(+K22-F22)/F22</f>
        <v>2.2262267137466468E-2</v>
      </c>
      <c r="M22" s="323" t="s">
        <v>327</v>
      </c>
      <c r="N22" s="323" t="s">
        <v>327</v>
      </c>
    </row>
    <row r="23" spans="1:14" ht="15" customHeight="1">
      <c r="C23" s="48"/>
      <c r="D23" s="526"/>
      <c r="E23" s="137"/>
      <c r="F23" s="126"/>
      <c r="G23" s="126"/>
      <c r="H23" s="126"/>
      <c r="I23" s="126"/>
      <c r="J23" s="126"/>
      <c r="K23" s="126"/>
      <c r="L23" s="118"/>
      <c r="M23" s="118"/>
      <c r="N23" s="118"/>
    </row>
    <row r="24" spans="1:14" ht="15" customHeight="1">
      <c r="B24" s="47"/>
      <c r="C24" s="48"/>
      <c r="D24" s="526"/>
      <c r="E24" s="831" t="s">
        <v>354</v>
      </c>
      <c r="F24" s="832"/>
      <c r="G24" s="832"/>
      <c r="H24" s="832"/>
      <c r="I24" s="832"/>
      <c r="J24" s="832"/>
      <c r="K24" s="832"/>
      <c r="L24" s="833"/>
      <c r="M24" s="705"/>
      <c r="N24" s="706"/>
    </row>
    <row r="25" spans="1:14" ht="15" customHeight="1">
      <c r="B25" s="47"/>
      <c r="C25" s="48"/>
      <c r="D25" s="526"/>
      <c r="E25" s="854" t="s">
        <v>43</v>
      </c>
      <c r="F25" s="855"/>
      <c r="G25" s="855"/>
      <c r="H25" s="855"/>
      <c r="I25" s="855"/>
      <c r="J25" s="855"/>
      <c r="K25" s="855"/>
      <c r="L25" s="859"/>
      <c r="M25" s="206"/>
      <c r="N25" s="207"/>
    </row>
    <row r="26" spans="1:14" s="290" customFormat="1" ht="15" customHeight="1">
      <c r="A26" s="159"/>
      <c r="B26" s="44">
        <v>12</v>
      </c>
      <c r="C26" s="48" t="str">
        <f>TEXT($B$1,"00")&amp;"."&amp;TEXT($B26,"000")&amp;"."&amp;TEXT('Campus Selector'!$G$6,"00")</f>
        <v>01.012.25</v>
      </c>
      <c r="D26" s="526"/>
      <c r="E26" s="134" t="s">
        <v>44</v>
      </c>
      <c r="F26" s="315">
        <v>4.6458333333333304</v>
      </c>
      <c r="G26" s="315">
        <v>4.7452830188679203</v>
      </c>
      <c r="H26" s="315">
        <v>4.79213483146067</v>
      </c>
      <c r="I26" s="315">
        <v>5.0285714285714302</v>
      </c>
      <c r="J26" s="316">
        <v>4.9960317460317496</v>
      </c>
      <c r="K26" s="316">
        <v>5.26893939393939</v>
      </c>
      <c r="L26" s="99">
        <f>IF(ISERROR((+K26-F26)/F26),"-",(+K26-F26)/F26)</f>
        <v>0.13412148389726852</v>
      </c>
      <c r="M26" s="760">
        <v>5.12</v>
      </c>
      <c r="N26" s="761">
        <v>4.9000000000000004</v>
      </c>
    </row>
    <row r="27" spans="1:14" s="290" customFormat="1" ht="15" customHeight="1">
      <c r="A27" s="159"/>
      <c r="B27" s="44">
        <v>13</v>
      </c>
      <c r="C27" s="48" t="str">
        <f>TEXT($B$1,"00")&amp;"."&amp;TEXT($B27,"000")&amp;"."&amp;TEXT('Campus Selector'!$G$6,"00")</f>
        <v>01.013.25</v>
      </c>
      <c r="D27" s="526"/>
      <c r="E27" s="134" t="s">
        <v>45</v>
      </c>
      <c r="F27" s="315">
        <v>3.3965517241379302</v>
      </c>
      <c r="G27" s="315">
        <v>3.20161290322581</v>
      </c>
      <c r="H27" s="315">
        <v>3.6608695652173902</v>
      </c>
      <c r="I27" s="315">
        <v>3.32558139534884</v>
      </c>
      <c r="J27" s="316">
        <v>3.7547619047618999</v>
      </c>
      <c r="K27" s="316">
        <v>3.415</v>
      </c>
      <c r="L27" s="99">
        <f>IF(ISERROR((+K27-F27)/F27),"-",(+K27-F27)/F27)</f>
        <v>5.4314720812185429E-3</v>
      </c>
      <c r="M27" s="760">
        <v>3.3</v>
      </c>
      <c r="N27" s="761">
        <v>3.2</v>
      </c>
    </row>
    <row r="28" spans="1:14" ht="15" customHeight="1">
      <c r="B28" s="47"/>
      <c r="C28" s="48"/>
      <c r="D28" s="526"/>
      <c r="E28" s="851" t="s">
        <v>25</v>
      </c>
      <c r="F28" s="852"/>
      <c r="G28" s="852"/>
      <c r="H28" s="852"/>
      <c r="I28" s="852"/>
      <c r="J28" s="852"/>
      <c r="K28" s="852"/>
      <c r="L28" s="853"/>
      <c r="M28" s="403"/>
      <c r="N28" s="404"/>
    </row>
    <row r="29" spans="1:14" ht="15" customHeight="1">
      <c r="B29" s="44">
        <v>12</v>
      </c>
      <c r="C29" s="48" t="str">
        <f>TEXT($B$1,"00")&amp;"."&amp;TEXT($B29,"000")&amp;"."&amp;TEXT('Campus Selector'!$J$9,"00")</f>
        <v>01.012.90</v>
      </c>
      <c r="D29" s="526"/>
      <c r="E29" s="243" t="s">
        <v>44</v>
      </c>
      <c r="F29" s="319">
        <v>4.5056008146639499</v>
      </c>
      <c r="G29" s="319">
        <v>4.5509396636993102</v>
      </c>
      <c r="H29" s="319">
        <v>4.5458793542905704</v>
      </c>
      <c r="I29" s="319">
        <v>4.7107469512195097</v>
      </c>
      <c r="J29" s="320">
        <v>4.7085201793721998</v>
      </c>
      <c r="K29" s="320">
        <v>4.8248663101604299</v>
      </c>
      <c r="L29" s="248">
        <f>(+K29-F29)/F29</f>
        <v>7.0859694107253568E-2</v>
      </c>
      <c r="M29" s="323" t="s">
        <v>327</v>
      </c>
      <c r="N29" s="323" t="s">
        <v>327</v>
      </c>
    </row>
    <row r="30" spans="1:14" ht="15" customHeight="1">
      <c r="B30" s="44">
        <v>13</v>
      </c>
      <c r="C30" s="48" t="str">
        <f>TEXT($B$1,"00")&amp;"."&amp;TEXT($B30,"000")&amp;"."&amp;TEXT('Campus Selector'!$J$9,"00")</f>
        <v>01.013.90</v>
      </c>
      <c r="D30" s="526"/>
      <c r="E30" s="243" t="s">
        <v>45</v>
      </c>
      <c r="F30" s="319">
        <v>3.07409274193548</v>
      </c>
      <c r="G30" s="319">
        <v>3.1547729379054701</v>
      </c>
      <c r="H30" s="319">
        <v>3.2479740680713101</v>
      </c>
      <c r="I30" s="319">
        <v>3.2544061302682001</v>
      </c>
      <c r="J30" s="320">
        <v>3.35796545105566</v>
      </c>
      <c r="K30" s="320">
        <v>3.2224757558471202</v>
      </c>
      <c r="L30" s="248">
        <f>(+K30-F30)/F30</f>
        <v>4.8268880078815309E-2</v>
      </c>
      <c r="M30" s="323" t="s">
        <v>327</v>
      </c>
      <c r="N30" s="323" t="s">
        <v>327</v>
      </c>
    </row>
    <row r="31" spans="1:14" ht="15" customHeight="1">
      <c r="C31" s="48"/>
      <c r="D31" s="526"/>
      <c r="E31" s="137"/>
      <c r="F31" s="126"/>
      <c r="G31" s="126"/>
      <c r="H31" s="126"/>
      <c r="I31" s="126"/>
      <c r="J31" s="126"/>
      <c r="K31" s="126"/>
      <c r="L31" s="118"/>
      <c r="M31" s="118"/>
      <c r="N31" s="118"/>
    </row>
    <row r="32" spans="1:14" ht="15" customHeight="1">
      <c r="B32" s="47"/>
      <c r="C32" s="48"/>
      <c r="D32" s="526"/>
      <c r="E32" s="856" t="s">
        <v>355</v>
      </c>
      <c r="F32" s="857"/>
      <c r="G32" s="857"/>
      <c r="H32" s="857"/>
      <c r="I32" s="857"/>
      <c r="J32" s="857"/>
      <c r="K32" s="857"/>
      <c r="L32" s="858"/>
      <c r="M32" s="705"/>
      <c r="N32" s="706"/>
    </row>
    <row r="33" spans="1:15" ht="15" customHeight="1">
      <c r="B33" s="47"/>
      <c r="C33" s="48"/>
      <c r="D33" s="526"/>
      <c r="E33" s="854" t="s">
        <v>43</v>
      </c>
      <c r="F33" s="855"/>
      <c r="G33" s="855"/>
      <c r="H33" s="855"/>
      <c r="I33" s="855"/>
      <c r="J33" s="855"/>
      <c r="K33" s="855"/>
      <c r="L33" s="859"/>
      <c r="M33" s="206"/>
      <c r="N33" s="207"/>
    </row>
    <row r="34" spans="1:15" s="290" customFormat="1" ht="15" customHeight="1">
      <c r="A34" s="159"/>
      <c r="B34" s="44">
        <v>15</v>
      </c>
      <c r="C34" s="48" t="str">
        <f>TEXT($B$1,"00")&amp;"."&amp;TEXT($B34,"000")&amp;"."&amp;TEXT('Campus Selector'!$G$6,"00")</f>
        <v>01.015.25</v>
      </c>
      <c r="D34" s="526"/>
      <c r="E34" s="134" t="s">
        <v>44</v>
      </c>
      <c r="F34" s="317">
        <v>126.729166666667</v>
      </c>
      <c r="G34" s="317">
        <v>127.92452830188699</v>
      </c>
      <c r="H34" s="317">
        <v>130.11494252873601</v>
      </c>
      <c r="I34" s="317">
        <v>131.686567164179</v>
      </c>
      <c r="J34" s="318">
        <v>132.73387096774201</v>
      </c>
      <c r="K34" s="318">
        <v>132.34375</v>
      </c>
      <c r="L34" s="99">
        <f>IF(ISERROR((+K34-F34)/F34),"-",(+K34-F34)/F34)</f>
        <v>4.4303797468351697E-2</v>
      </c>
      <c r="M34" s="760">
        <v>131</v>
      </c>
      <c r="N34" s="761">
        <v>130</v>
      </c>
    </row>
    <row r="35" spans="1:15" s="290" customFormat="1" ht="15" customHeight="1">
      <c r="A35" s="159"/>
      <c r="B35" s="44">
        <v>16</v>
      </c>
      <c r="C35" s="48" t="str">
        <f>TEXT($B$1,"00")&amp;"."&amp;TEXT($B35,"000")&amp;"."&amp;TEXT('Campus Selector'!$G$6,"00")</f>
        <v>01.016.25</v>
      </c>
      <c r="D35" s="526"/>
      <c r="E35" s="134" t="s">
        <v>45</v>
      </c>
      <c r="F35" s="317">
        <v>125.344827586207</v>
      </c>
      <c r="G35" s="317">
        <v>127.083333333333</v>
      </c>
      <c r="H35" s="317">
        <v>126.277777777778</v>
      </c>
      <c r="I35" s="317">
        <v>133.64935064935099</v>
      </c>
      <c r="J35" s="318">
        <v>136.55000000000001</v>
      </c>
      <c r="K35" s="318">
        <v>141.64516129032299</v>
      </c>
      <c r="L35" s="99">
        <f>IF(ISERROR((+K35-F35)/F35),"-",(+K35-F35)/F35)</f>
        <v>0.13004392776323609</v>
      </c>
      <c r="M35" s="760">
        <v>137</v>
      </c>
      <c r="N35" s="761">
        <v>135</v>
      </c>
    </row>
    <row r="36" spans="1:15" ht="15" customHeight="1">
      <c r="B36" s="47"/>
      <c r="C36" s="48"/>
      <c r="D36" s="526"/>
      <c r="E36" s="851" t="s">
        <v>25</v>
      </c>
      <c r="F36" s="852"/>
      <c r="G36" s="852"/>
      <c r="H36" s="852"/>
      <c r="I36" s="852"/>
      <c r="J36" s="852"/>
      <c r="K36" s="852"/>
      <c r="L36" s="853"/>
      <c r="M36" s="403"/>
      <c r="N36" s="404"/>
    </row>
    <row r="37" spans="1:15" ht="15" customHeight="1">
      <c r="B37" s="44">
        <v>15</v>
      </c>
      <c r="C37" s="48" t="str">
        <f>TEXT($B$1,"00")&amp;"."&amp;TEXT($B37,"000")&amp;"."&amp;TEXT('Campus Selector'!$J$9,"00")</f>
        <v>01.015.90</v>
      </c>
      <c r="D37" s="526"/>
      <c r="E37" s="243" t="s">
        <v>44</v>
      </c>
      <c r="F37" s="321">
        <v>138.105095541401</v>
      </c>
      <c r="G37" s="321">
        <v>137.464615384615</v>
      </c>
      <c r="H37" s="321">
        <v>137.53108348135001</v>
      </c>
      <c r="I37" s="321">
        <v>137.54100946372199</v>
      </c>
      <c r="J37" s="322">
        <v>137.748514851485</v>
      </c>
      <c r="K37" s="322">
        <v>137.11591220850499</v>
      </c>
      <c r="L37" s="248">
        <f>(+K37-F37)/F37</f>
        <v>-7.1625404480421097E-3</v>
      </c>
      <c r="M37" s="323" t="s">
        <v>327</v>
      </c>
      <c r="N37" s="323" t="s">
        <v>327</v>
      </c>
    </row>
    <row r="38" spans="1:15" ht="15" customHeight="1">
      <c r="B38" s="44">
        <v>16</v>
      </c>
      <c r="C38" s="48" t="str">
        <f>TEXT($B$1,"00")&amp;"."&amp;TEXT($B38,"000")&amp;"."&amp;TEXT('Campus Selector'!$J$9,"00")</f>
        <v>01.016.90</v>
      </c>
      <c r="D38" s="526"/>
      <c r="E38" s="243" t="s">
        <v>45</v>
      </c>
      <c r="F38" s="321">
        <v>135.376321353066</v>
      </c>
      <c r="G38" s="321">
        <v>134.66473429951699</v>
      </c>
      <c r="H38" s="321">
        <v>135.47811158798299</v>
      </c>
      <c r="I38" s="321">
        <v>135.652879156529</v>
      </c>
      <c r="J38" s="322">
        <v>136.082696316887</v>
      </c>
      <c r="K38" s="322">
        <v>136.19663970130699</v>
      </c>
      <c r="L38" s="248">
        <f>(+K38-F38)/F38</f>
        <v>6.0595408417220206E-3</v>
      </c>
      <c r="M38" s="323" t="s">
        <v>327</v>
      </c>
      <c r="N38" s="323" t="s">
        <v>327</v>
      </c>
    </row>
    <row r="39" spans="1:15" ht="7.5" customHeight="1">
      <c r="D39" s="526"/>
      <c r="E39" s="827"/>
      <c r="F39" s="827"/>
      <c r="G39" s="827"/>
      <c r="H39" s="827"/>
      <c r="I39" s="827"/>
      <c r="J39" s="827"/>
      <c r="K39" s="827"/>
      <c r="L39" s="827"/>
      <c r="M39" s="704"/>
      <c r="N39" s="118"/>
      <c r="O39" s="118"/>
    </row>
    <row r="40" spans="1:15" ht="15" customHeight="1">
      <c r="D40" s="526"/>
      <c r="E40" s="827" t="s">
        <v>498</v>
      </c>
      <c r="F40" s="827"/>
      <c r="G40" s="827"/>
      <c r="H40" s="827"/>
      <c r="I40" s="827"/>
      <c r="J40" s="827"/>
      <c r="K40" s="827"/>
      <c r="L40" s="827"/>
      <c r="M40" s="118"/>
      <c r="N40" s="118"/>
    </row>
    <row r="41" spans="1:15" ht="7.5" customHeight="1">
      <c r="D41" s="526"/>
      <c r="E41" s="137"/>
      <c r="F41" s="126"/>
      <c r="G41" s="126"/>
      <c r="H41" s="126"/>
      <c r="I41" s="126"/>
      <c r="J41" s="126"/>
      <c r="K41" s="126"/>
      <c r="L41" s="118"/>
      <c r="M41" s="118"/>
      <c r="N41" s="118"/>
    </row>
    <row r="42" spans="1:15" ht="15" customHeight="1">
      <c r="D42" s="526"/>
      <c r="E42" s="756" t="s">
        <v>735</v>
      </c>
      <c r="F42" s="126"/>
      <c r="G42" s="126"/>
      <c r="H42" s="126"/>
      <c r="I42" s="126"/>
      <c r="J42" s="126"/>
      <c r="K42" s="126"/>
      <c r="L42" s="126"/>
      <c r="M42" s="126"/>
      <c r="N42" s="126"/>
    </row>
    <row r="43" spans="1:15" ht="7.5" customHeight="1">
      <c r="D43" s="526"/>
      <c r="E43" s="118"/>
      <c r="F43" s="126"/>
      <c r="G43" s="126"/>
      <c r="H43" s="126"/>
      <c r="I43" s="126"/>
      <c r="J43" s="126"/>
      <c r="K43" s="126"/>
      <c r="L43" s="126"/>
      <c r="M43" s="126"/>
      <c r="N43" s="126"/>
    </row>
    <row r="44" spans="1:15" ht="15" customHeight="1">
      <c r="D44" s="526"/>
      <c r="E44" s="121" t="s">
        <v>260</v>
      </c>
      <c r="F44" s="122"/>
      <c r="G44" s="122"/>
      <c r="H44" s="123"/>
      <c r="I44" s="122"/>
      <c r="J44" s="122"/>
      <c r="K44" s="122"/>
      <c r="L44" s="123"/>
      <c r="M44" s="124"/>
      <c r="N44" s="126"/>
    </row>
    <row r="45" spans="1:15" ht="15" customHeight="1">
      <c r="D45" s="526"/>
      <c r="E45" s="814"/>
      <c r="F45" s="814"/>
      <c r="G45" s="814"/>
      <c r="H45" s="814"/>
      <c r="I45" s="814"/>
      <c r="J45" s="814"/>
      <c r="K45" s="814"/>
      <c r="L45" s="814"/>
      <c r="M45" s="814"/>
      <c r="N45" s="814"/>
    </row>
    <row r="46" spans="1:15" ht="15" customHeight="1">
      <c r="D46" s="526"/>
      <c r="E46" s="814"/>
      <c r="F46" s="814"/>
      <c r="G46" s="814"/>
      <c r="H46" s="814"/>
      <c r="I46" s="814"/>
      <c r="J46" s="814"/>
      <c r="K46" s="814"/>
      <c r="L46" s="814"/>
      <c r="M46" s="814"/>
      <c r="N46" s="814"/>
    </row>
    <row r="47" spans="1:15" ht="15" customHeight="1">
      <c r="D47" s="526"/>
    </row>
    <row r="48" spans="1:15" ht="15" customHeight="1">
      <c r="D48" s="526"/>
    </row>
    <row r="49" spans="4:4" ht="15" customHeight="1">
      <c r="D49" s="526"/>
    </row>
    <row r="50" spans="4:4" ht="15" customHeight="1">
      <c r="D50" s="526"/>
    </row>
    <row r="51" spans="4:4" ht="15" customHeight="1">
      <c r="D51" s="526"/>
    </row>
    <row r="52" spans="4:4" ht="15" customHeight="1">
      <c r="D52" s="526"/>
    </row>
    <row r="53" spans="4:4" ht="15" customHeight="1">
      <c r="D53" s="526"/>
    </row>
    <row r="54" spans="4:4" ht="15" customHeight="1">
      <c r="D54" s="526"/>
    </row>
  </sheetData>
  <mergeCells count="18">
    <mergeCell ref="E32:L32"/>
    <mergeCell ref="E33:L33"/>
    <mergeCell ref="R5:V5"/>
    <mergeCell ref="E39:L39"/>
    <mergeCell ref="E4:N4"/>
    <mergeCell ref="E5:N5"/>
    <mergeCell ref="E45:N46"/>
    <mergeCell ref="E12:N12"/>
    <mergeCell ref="E40:L40"/>
    <mergeCell ref="E9:L9"/>
    <mergeCell ref="E8:L8"/>
    <mergeCell ref="E16:L16"/>
    <mergeCell ref="E17:L17"/>
    <mergeCell ref="E20:L20"/>
    <mergeCell ref="E36:L36"/>
    <mergeCell ref="E24:L24"/>
    <mergeCell ref="E25:L25"/>
    <mergeCell ref="E28:L28"/>
  </mergeCells>
  <printOptions horizontalCentered="1"/>
  <pageMargins left="0.2" right="0.2" top="0.5" bottom="0.5" header="0.3" footer="0.3"/>
  <pageSetup scale="80" fitToWidth="0" orientation="landscape" horizontalDpi="300" verticalDpi="300" r:id="rId1"/>
  <headerFooter alignWithMargins="0">
    <oddFooter>&amp;LState University of New York System Administration&amp;R&amp;G</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49"/>
  <sheetViews>
    <sheetView showGridLines="0" topLeftCell="D5" zoomScaleNormal="100" workbookViewId="0">
      <selection activeCell="U45" sqref="U45"/>
    </sheetView>
  </sheetViews>
  <sheetFormatPr defaultColWidth="9.140625" defaultRowHeight="15" customHeight="1"/>
  <cols>
    <col min="1" max="1" width="9.140625" style="32" hidden="1" customWidth="1"/>
    <col min="2" max="2" width="8" style="44" hidden="1" customWidth="1"/>
    <col min="3" max="3" width="12.140625" style="32" hidden="1" customWidth="1"/>
    <col min="4" max="4" width="10" style="50" customWidth="1"/>
    <col min="5" max="5" width="32.85546875" style="1" customWidth="1"/>
    <col min="6" max="6" width="10" style="32" hidden="1" customWidth="1"/>
    <col min="7" max="7" width="10" style="67" hidden="1" customWidth="1"/>
    <col min="8" max="15" width="10" style="53" customWidth="1"/>
    <col min="16" max="16384" width="9.140625" style="1"/>
  </cols>
  <sheetData>
    <row r="1" spans="1:22" s="32" customFormat="1" ht="15" hidden="1" customHeight="1">
      <c r="A1" s="32" t="s">
        <v>254</v>
      </c>
      <c r="B1" s="44">
        <v>15</v>
      </c>
      <c r="E1" s="32" t="s">
        <v>361</v>
      </c>
      <c r="F1" s="44"/>
      <c r="G1" s="44"/>
      <c r="H1" s="44">
        <v>20</v>
      </c>
      <c r="I1" s="44">
        <f>+H1+1</f>
        <v>21</v>
      </c>
      <c r="J1" s="44">
        <f>I1+1</f>
        <v>22</v>
      </c>
      <c r="K1" s="44">
        <f>J1+1</f>
        <v>23</v>
      </c>
      <c r="L1" s="45"/>
      <c r="M1" s="45">
        <v>24</v>
      </c>
      <c r="N1" s="44">
        <v>27</v>
      </c>
      <c r="O1" s="45"/>
    </row>
    <row r="2" spans="1:22" s="32" customFormat="1" ht="15" hidden="1" customHeight="1">
      <c r="B2" s="44"/>
      <c r="E2" s="32" t="s">
        <v>362</v>
      </c>
      <c r="F2" s="44"/>
      <c r="G2" s="44"/>
      <c r="H2" s="44">
        <v>18</v>
      </c>
      <c r="I2" s="44">
        <f>+H2+1</f>
        <v>19</v>
      </c>
      <c r="J2" s="44">
        <f t="shared" ref="J2:K4" si="0">+I2+1</f>
        <v>20</v>
      </c>
      <c r="K2" s="44">
        <f t="shared" si="0"/>
        <v>21</v>
      </c>
      <c r="L2" s="45"/>
      <c r="M2" s="45">
        <v>22</v>
      </c>
      <c r="N2" s="44">
        <v>25</v>
      </c>
      <c r="O2" s="45">
        <v>27</v>
      </c>
    </row>
    <row r="3" spans="1:22" s="32" customFormat="1" ht="15" hidden="1" customHeight="1">
      <c r="B3" s="44"/>
      <c r="E3" s="32" t="s">
        <v>509</v>
      </c>
      <c r="H3" s="44">
        <v>18</v>
      </c>
      <c r="I3" s="44">
        <f>+H3+1</f>
        <v>19</v>
      </c>
      <c r="J3" s="44">
        <f t="shared" si="0"/>
        <v>20</v>
      </c>
      <c r="K3" s="44">
        <f t="shared" si="0"/>
        <v>21</v>
      </c>
      <c r="L3" s="44"/>
      <c r="M3" s="44"/>
      <c r="N3" s="44">
        <v>25</v>
      </c>
      <c r="O3" s="44">
        <f>+N3+1</f>
        <v>26</v>
      </c>
    </row>
    <row r="4" spans="1:22" s="32" customFormat="1" ht="15" hidden="1" customHeight="1">
      <c r="B4" s="44"/>
      <c r="E4" s="32" t="s">
        <v>510</v>
      </c>
      <c r="H4" s="44">
        <v>16</v>
      </c>
      <c r="I4" s="44">
        <f>+H4+1</f>
        <v>17</v>
      </c>
      <c r="J4" s="44">
        <f t="shared" si="0"/>
        <v>18</v>
      </c>
      <c r="K4" s="44">
        <f t="shared" si="0"/>
        <v>19</v>
      </c>
      <c r="L4" s="44"/>
      <c r="M4" s="44"/>
      <c r="N4" s="44">
        <v>25</v>
      </c>
      <c r="O4" s="44">
        <f>+N4+1</f>
        <v>26</v>
      </c>
    </row>
    <row r="5" spans="1:22" ht="15" customHeight="1">
      <c r="R5" s="813"/>
      <c r="S5" s="813"/>
      <c r="T5" s="813"/>
      <c r="U5" s="813"/>
      <c r="V5" s="813"/>
    </row>
    <row r="6" spans="1:22" ht="15" customHeight="1">
      <c r="E6" s="815" t="s">
        <v>715</v>
      </c>
      <c r="F6" s="815"/>
      <c r="G6" s="815"/>
      <c r="H6" s="815"/>
      <c r="I6" s="815"/>
      <c r="J6" s="815"/>
      <c r="K6" s="815"/>
      <c r="L6" s="815"/>
      <c r="M6" s="815"/>
      <c r="N6" s="815"/>
      <c r="O6" s="815"/>
    </row>
    <row r="7" spans="1:22" ht="15" customHeight="1">
      <c r="D7" s="526"/>
      <c r="E7" s="816" t="s">
        <v>402</v>
      </c>
      <c r="F7" s="816"/>
      <c r="G7" s="816"/>
      <c r="H7" s="816"/>
      <c r="I7" s="816"/>
      <c r="J7" s="816"/>
      <c r="K7" s="816"/>
      <c r="L7" s="816"/>
      <c r="M7" s="816"/>
      <c r="N7" s="816"/>
      <c r="O7" s="816"/>
    </row>
    <row r="8" spans="1:22" ht="15" customHeight="1">
      <c r="B8" s="47"/>
      <c r="C8" s="48"/>
      <c r="D8" s="526"/>
    </row>
    <row r="9" spans="1:22" ht="42.75" customHeight="1">
      <c r="B9" s="47" t="s">
        <v>253</v>
      </c>
      <c r="C9" s="48"/>
      <c r="D9" s="526"/>
      <c r="E9" s="715" t="s">
        <v>469</v>
      </c>
      <c r="F9" s="551" t="s">
        <v>399</v>
      </c>
      <c r="G9" s="551" t="s">
        <v>400</v>
      </c>
      <c r="H9" s="98" t="s">
        <v>441</v>
      </c>
      <c r="I9" s="98" t="s">
        <v>442</v>
      </c>
      <c r="J9" s="98" t="s">
        <v>443</v>
      </c>
      <c r="K9" s="98" t="s">
        <v>444</v>
      </c>
      <c r="L9" s="98" t="s">
        <v>587</v>
      </c>
      <c r="M9" s="98" t="s">
        <v>590</v>
      </c>
      <c r="N9" s="98" t="s">
        <v>591</v>
      </c>
      <c r="O9" s="98" t="s">
        <v>592</v>
      </c>
    </row>
    <row r="10" spans="1:22" ht="15" customHeight="1">
      <c r="B10" s="47"/>
      <c r="C10" s="48"/>
      <c r="D10" s="526"/>
      <c r="E10" s="831" t="s">
        <v>446</v>
      </c>
      <c r="F10" s="832"/>
      <c r="G10" s="832"/>
      <c r="H10" s="832"/>
      <c r="I10" s="832"/>
      <c r="J10" s="832"/>
      <c r="K10" s="832"/>
      <c r="L10" s="832"/>
      <c r="M10" s="832"/>
      <c r="N10" s="832"/>
      <c r="O10" s="833"/>
    </row>
    <row r="11" spans="1:22" ht="15" customHeight="1">
      <c r="C11" s="48"/>
      <c r="D11" s="526"/>
      <c r="E11" s="111" t="s">
        <v>91</v>
      </c>
      <c r="F11" s="551"/>
      <c r="G11" s="551"/>
      <c r="H11" s="98">
        <v>2007</v>
      </c>
      <c r="I11" s="98">
        <v>2008</v>
      </c>
      <c r="J11" s="98">
        <v>2009</v>
      </c>
      <c r="K11" s="98">
        <v>2010</v>
      </c>
      <c r="L11" s="332" t="s">
        <v>327</v>
      </c>
      <c r="M11" s="331">
        <v>2011</v>
      </c>
      <c r="N11" s="331">
        <v>2014</v>
      </c>
      <c r="O11" s="331">
        <v>2016</v>
      </c>
    </row>
    <row r="12" spans="1:22" ht="15" customHeight="1">
      <c r="B12" s="44">
        <v>180</v>
      </c>
      <c r="C12" s="48" t="s">
        <v>716</v>
      </c>
      <c r="D12" s="526"/>
      <c r="E12" s="92" t="s">
        <v>580</v>
      </c>
      <c r="F12" s="552"/>
      <c r="G12" s="552"/>
      <c r="H12" s="196">
        <v>613</v>
      </c>
      <c r="I12" s="196">
        <v>666</v>
      </c>
      <c r="J12" s="196">
        <v>660</v>
      </c>
      <c r="K12" s="196">
        <v>563</v>
      </c>
      <c r="L12" s="100">
        <f>IF(ISERROR((+J12-H12)/H12),"-",(+J12-H12)/H12)</f>
        <v>7.6672104404567704E-2</v>
      </c>
      <c r="M12" s="539">
        <v>585</v>
      </c>
      <c r="N12" s="537">
        <v>412</v>
      </c>
      <c r="O12" s="538">
        <v>485</v>
      </c>
    </row>
    <row r="13" spans="1:22" ht="6" customHeight="1">
      <c r="C13" s="48"/>
      <c r="D13" s="526"/>
      <c r="E13" s="157"/>
      <c r="F13" s="553"/>
      <c r="G13" s="553"/>
      <c r="H13" s="197"/>
      <c r="I13" s="197"/>
      <c r="J13" s="197"/>
      <c r="K13" s="197"/>
      <c r="L13" s="156"/>
      <c r="M13" s="156"/>
      <c r="N13" s="156"/>
      <c r="O13" s="156"/>
    </row>
    <row r="14" spans="1:22" ht="15" customHeight="1">
      <c r="C14" s="48"/>
      <c r="D14" s="526"/>
      <c r="E14" s="190" t="s">
        <v>401</v>
      </c>
      <c r="F14" s="554"/>
      <c r="G14" s="554"/>
      <c r="H14" s="201">
        <f>SUM(H15:H20)</f>
        <v>404</v>
      </c>
      <c r="I14" s="201">
        <f>SUM(I15:I20)</f>
        <v>433</v>
      </c>
      <c r="J14" s="201">
        <f>SUM(J15:J20)</f>
        <v>428</v>
      </c>
      <c r="K14" s="201" t="s">
        <v>327</v>
      </c>
      <c r="L14" s="170">
        <f t="shared" ref="L14:L20" si="1">IF(ISERROR((+J14-H14)/H14),"-",(+J14-H14)/H14)</f>
        <v>5.9405940594059403E-2</v>
      </c>
      <c r="M14" s="757">
        <f>SUM(M15:M20)</f>
        <v>410</v>
      </c>
      <c r="N14" s="534">
        <f>SUM(N15:N20)</f>
        <v>291</v>
      </c>
      <c r="O14" s="535">
        <f>SUM(O15:O20)</f>
        <v>347</v>
      </c>
    </row>
    <row r="15" spans="1:22" ht="15" customHeight="1">
      <c r="B15" s="44">
        <v>182</v>
      </c>
      <c r="C15" s="48" t="s">
        <v>717</v>
      </c>
      <c r="D15" s="526"/>
      <c r="E15" s="91" t="s">
        <v>417</v>
      </c>
      <c r="F15" s="552"/>
      <c r="G15" s="552"/>
      <c r="H15" s="196">
        <v>212</v>
      </c>
      <c r="I15" s="196">
        <v>222</v>
      </c>
      <c r="J15" s="196">
        <v>226</v>
      </c>
      <c r="K15" s="201" t="s">
        <v>327</v>
      </c>
      <c r="L15" s="100">
        <f t="shared" si="1"/>
        <v>6.6037735849056603E-2</v>
      </c>
      <c r="M15" s="758">
        <v>220</v>
      </c>
      <c r="N15" s="534">
        <v>165</v>
      </c>
      <c r="O15" s="535">
        <v>208</v>
      </c>
    </row>
    <row r="16" spans="1:22" ht="14.25" customHeight="1">
      <c r="B16" s="44">
        <v>186</v>
      </c>
      <c r="C16" s="48" t="s">
        <v>718</v>
      </c>
      <c r="D16" s="526"/>
      <c r="E16" s="91" t="s">
        <v>418</v>
      </c>
      <c r="F16" s="552"/>
      <c r="G16" s="552"/>
      <c r="H16" s="196">
        <v>13</v>
      </c>
      <c r="I16" s="196">
        <v>9</v>
      </c>
      <c r="J16" s="196">
        <v>10</v>
      </c>
      <c r="K16" s="201" t="s">
        <v>327</v>
      </c>
      <c r="L16" s="100">
        <f t="shared" si="1"/>
        <v>-0.23076923076923078</v>
      </c>
      <c r="M16" s="758">
        <v>10</v>
      </c>
      <c r="N16" s="534">
        <v>6</v>
      </c>
      <c r="O16" s="535">
        <v>5</v>
      </c>
    </row>
    <row r="17" spans="2:15" ht="15" customHeight="1">
      <c r="B17" s="44">
        <v>183</v>
      </c>
      <c r="C17" s="48" t="s">
        <v>719</v>
      </c>
      <c r="D17" s="526"/>
      <c r="E17" s="91" t="s">
        <v>419</v>
      </c>
      <c r="F17" s="552"/>
      <c r="G17" s="552"/>
      <c r="H17" s="196">
        <v>53</v>
      </c>
      <c r="I17" s="196">
        <v>46</v>
      </c>
      <c r="J17" s="196">
        <v>57</v>
      </c>
      <c r="K17" s="201" t="s">
        <v>327</v>
      </c>
      <c r="L17" s="100">
        <f t="shared" si="1"/>
        <v>7.5471698113207544E-2</v>
      </c>
      <c r="M17" s="758">
        <v>55</v>
      </c>
      <c r="N17" s="534">
        <v>45</v>
      </c>
      <c r="O17" s="535">
        <v>60</v>
      </c>
    </row>
    <row r="18" spans="2:15" ht="15" customHeight="1">
      <c r="B18" s="44">
        <v>181</v>
      </c>
      <c r="C18" s="48" t="s">
        <v>720</v>
      </c>
      <c r="D18" s="526"/>
      <c r="E18" s="91" t="s">
        <v>420</v>
      </c>
      <c r="F18" s="552"/>
      <c r="G18" s="552"/>
      <c r="H18" s="196">
        <v>27</v>
      </c>
      <c r="I18" s="196">
        <v>25</v>
      </c>
      <c r="J18" s="196">
        <v>19</v>
      </c>
      <c r="K18" s="201" t="s">
        <v>327</v>
      </c>
      <c r="L18" s="100">
        <f t="shared" si="1"/>
        <v>-0.29629629629629628</v>
      </c>
      <c r="M18" s="758">
        <v>15</v>
      </c>
      <c r="N18" s="534">
        <v>5</v>
      </c>
      <c r="O18" s="535">
        <v>4</v>
      </c>
    </row>
    <row r="19" spans="2:15" ht="15" customHeight="1">
      <c r="B19" s="44">
        <v>184</v>
      </c>
      <c r="C19" s="48" t="s">
        <v>721</v>
      </c>
      <c r="D19" s="526"/>
      <c r="E19" s="91" t="s">
        <v>421</v>
      </c>
      <c r="F19" s="552"/>
      <c r="G19" s="552"/>
      <c r="H19" s="196">
        <v>58</v>
      </c>
      <c r="I19" s="196">
        <v>74</v>
      </c>
      <c r="J19" s="196">
        <v>61</v>
      </c>
      <c r="K19" s="201" t="s">
        <v>327</v>
      </c>
      <c r="L19" s="100">
        <f t="shared" si="1"/>
        <v>5.1724137931034482E-2</v>
      </c>
      <c r="M19" s="758">
        <v>58</v>
      </c>
      <c r="N19" s="534">
        <v>40</v>
      </c>
      <c r="O19" s="535">
        <v>40</v>
      </c>
    </row>
    <row r="20" spans="2:15" ht="15" customHeight="1">
      <c r="B20" s="44">
        <v>185</v>
      </c>
      <c r="C20" s="48" t="s">
        <v>722</v>
      </c>
      <c r="D20" s="526"/>
      <c r="E20" s="91" t="s">
        <v>422</v>
      </c>
      <c r="F20" s="552"/>
      <c r="G20" s="552"/>
      <c r="H20" s="196">
        <v>41</v>
      </c>
      <c r="I20" s="196">
        <v>57</v>
      </c>
      <c r="J20" s="196">
        <v>55</v>
      </c>
      <c r="K20" s="201" t="s">
        <v>327</v>
      </c>
      <c r="L20" s="100">
        <f t="shared" si="1"/>
        <v>0.34146341463414637</v>
      </c>
      <c r="M20" s="758">
        <v>52</v>
      </c>
      <c r="N20" s="534">
        <v>30</v>
      </c>
      <c r="O20" s="535">
        <v>30</v>
      </c>
    </row>
    <row r="21" spans="2:15" ht="7.5" customHeight="1">
      <c r="C21" s="48"/>
      <c r="D21" s="526"/>
      <c r="E21" s="157"/>
      <c r="F21" s="553"/>
      <c r="G21" s="553"/>
      <c r="H21" s="197"/>
      <c r="I21" s="197"/>
      <c r="J21" s="197"/>
      <c r="K21" s="197"/>
      <c r="L21" s="156"/>
      <c r="M21" s="156"/>
      <c r="N21" s="156"/>
      <c r="O21" s="156"/>
    </row>
    <row r="22" spans="2:15" ht="15" customHeight="1">
      <c r="C22" s="48"/>
      <c r="D22" s="526"/>
      <c r="E22" s="328" t="s">
        <v>397</v>
      </c>
      <c r="F22" s="555"/>
      <c r="G22" s="555"/>
      <c r="H22" s="310">
        <f>IF(ISERROR(+H14/H12),"-",+H14/H12)</f>
        <v>0.65905383360522019</v>
      </c>
      <c r="I22" s="310">
        <f>IF(ISERROR(+I14/I12),"-",+I14/I12)</f>
        <v>0.6501501501501501</v>
      </c>
      <c r="J22" s="310">
        <f>IF(ISERROR(+J14/J12),"-",+J14/J12)</f>
        <v>0.64848484848484844</v>
      </c>
      <c r="K22" s="310" t="str">
        <f>IF(ISERROR(+K14/K12),"-",+K14/K12)</f>
        <v>-</v>
      </c>
      <c r="L22" s="428" t="s">
        <v>327</v>
      </c>
      <c r="M22" s="310">
        <f>IF(ISERROR(+M14/M12),"-",+M14/M12)</f>
        <v>0.70085470085470081</v>
      </c>
      <c r="N22" s="325">
        <f>IF(ISERROR(+N14/N12),"-",+N14/N12)</f>
        <v>0.7063106796116505</v>
      </c>
      <c r="O22" s="325">
        <f>IF(ISERROR(+O14/O12),"-",+O14/O12)</f>
        <v>0.71546391752577321</v>
      </c>
    </row>
    <row r="23" spans="2:15" ht="15" customHeight="1">
      <c r="B23" s="44">
        <v>210</v>
      </c>
      <c r="C23" s="48" t="s">
        <v>723</v>
      </c>
      <c r="D23" s="526"/>
      <c r="E23" s="330" t="s">
        <v>398</v>
      </c>
      <c r="F23" s="556"/>
      <c r="G23" s="556"/>
      <c r="H23" s="326">
        <v>0.75762876579203109</v>
      </c>
      <c r="I23" s="326">
        <v>0.74834562299111362</v>
      </c>
      <c r="J23" s="326">
        <v>0.74001581652827209</v>
      </c>
      <c r="K23" s="639">
        <v>0</v>
      </c>
      <c r="L23" s="327" t="s">
        <v>327</v>
      </c>
      <c r="M23" s="327" t="s">
        <v>327</v>
      </c>
      <c r="N23" s="327" t="s">
        <v>327</v>
      </c>
      <c r="O23" s="327" t="s">
        <v>327</v>
      </c>
    </row>
    <row r="24" spans="2:15" ht="7.5" customHeight="1">
      <c r="C24" s="48"/>
      <c r="D24" s="526"/>
      <c r="E24" s="157"/>
      <c r="F24" s="553"/>
      <c r="G24" s="553"/>
      <c r="H24" s="197"/>
      <c r="I24" s="197"/>
      <c r="J24" s="197"/>
      <c r="K24" s="197"/>
      <c r="L24" s="156"/>
      <c r="M24" s="156"/>
      <c r="N24" s="156"/>
      <c r="O24" s="156"/>
    </row>
    <row r="25" spans="2:15" ht="15" customHeight="1">
      <c r="B25" s="47"/>
      <c r="C25" s="48"/>
      <c r="D25" s="526"/>
      <c r="E25" s="831" t="s">
        <v>445</v>
      </c>
      <c r="F25" s="832"/>
      <c r="G25" s="832"/>
      <c r="H25" s="832"/>
      <c r="I25" s="832"/>
      <c r="J25" s="832"/>
      <c r="K25" s="832"/>
      <c r="L25" s="832"/>
      <c r="M25" s="832"/>
      <c r="N25" s="832"/>
      <c r="O25" s="833"/>
    </row>
    <row r="26" spans="2:15" ht="15" customHeight="1">
      <c r="C26" s="48"/>
      <c r="D26" s="526"/>
      <c r="E26" s="195" t="s">
        <v>91</v>
      </c>
      <c r="F26" s="551"/>
      <c r="G26" s="551"/>
      <c r="H26" s="98">
        <v>2005</v>
      </c>
      <c r="I26" s="98">
        <v>2006</v>
      </c>
      <c r="J26" s="98">
        <v>2007</v>
      </c>
      <c r="K26" s="98">
        <v>2008</v>
      </c>
      <c r="L26" s="332" t="s">
        <v>327</v>
      </c>
      <c r="M26" s="331">
        <v>2009</v>
      </c>
      <c r="N26" s="331">
        <v>2012</v>
      </c>
      <c r="O26" s="331">
        <v>2014</v>
      </c>
    </row>
    <row r="27" spans="2:15" ht="15" customHeight="1">
      <c r="B27" s="44">
        <v>194</v>
      </c>
      <c r="C27" s="48" t="s">
        <v>724</v>
      </c>
      <c r="D27" s="526"/>
      <c r="E27" s="92" t="s">
        <v>580</v>
      </c>
      <c r="F27" s="552" t="s">
        <v>708</v>
      </c>
      <c r="G27" s="552" t="s">
        <v>708</v>
      </c>
      <c r="H27" s="196">
        <v>37</v>
      </c>
      <c r="I27" s="196">
        <v>28</v>
      </c>
      <c r="J27" s="196">
        <v>77</v>
      </c>
      <c r="K27" s="196">
        <v>75</v>
      </c>
      <c r="L27" s="100">
        <f>IF(ISERROR((+K27-H27)/H27),"-",(+K27-H27)/H27)</f>
        <v>1.027027027027027</v>
      </c>
      <c r="M27" s="561">
        <v>94</v>
      </c>
      <c r="N27" s="562">
        <v>126</v>
      </c>
      <c r="O27" s="563">
        <v>131</v>
      </c>
    </row>
    <row r="28" spans="2:15" ht="6" customHeight="1">
      <c r="C28" s="48"/>
      <c r="D28" s="526"/>
      <c r="E28" s="157"/>
      <c r="F28" s="553"/>
      <c r="G28" s="553"/>
      <c r="H28" s="197"/>
      <c r="I28" s="197"/>
      <c r="J28" s="197"/>
      <c r="K28" s="197"/>
      <c r="L28" s="156"/>
      <c r="M28" s="156"/>
      <c r="N28" s="156"/>
      <c r="O28" s="156"/>
    </row>
    <row r="29" spans="2:15" ht="15" customHeight="1">
      <c r="C29" s="48"/>
      <c r="D29" s="526"/>
      <c r="E29" s="190" t="s">
        <v>401</v>
      </c>
      <c r="F29" s="554"/>
      <c r="G29" s="554"/>
      <c r="H29" s="201">
        <f>SUM(H30:H33)</f>
        <v>25</v>
      </c>
      <c r="I29" s="201">
        <f>SUM(I30:I33)</f>
        <v>19</v>
      </c>
      <c r="J29" s="201">
        <f>SUM(J30:J33)</f>
        <v>43</v>
      </c>
      <c r="K29" s="201">
        <f>SUM(K30:K33)</f>
        <v>37</v>
      </c>
      <c r="L29" s="170">
        <f>IF(ISERROR((+K29-H29)/H29),"-",(+K29-H29)/H29)</f>
        <v>0.48</v>
      </c>
      <c r="M29" s="757">
        <f>IF(SUM(M30:M33)=0,"",SUM(M30:M33))</f>
        <v>54</v>
      </c>
      <c r="N29" s="534">
        <f>IF(SUM(N30:N33)=0,"",SUM(N30:N33))</f>
        <v>75</v>
      </c>
      <c r="O29" s="535">
        <f>IF(SUM(O30:O33)=0,"",SUM(O30:O33))</f>
        <v>84</v>
      </c>
    </row>
    <row r="30" spans="2:15" ht="15" customHeight="1">
      <c r="B30" s="44">
        <v>196</v>
      </c>
      <c r="C30" s="48" t="s">
        <v>725</v>
      </c>
      <c r="D30" s="526"/>
      <c r="E30" s="91" t="s">
        <v>417</v>
      </c>
      <c r="F30" s="552" t="s">
        <v>708</v>
      </c>
      <c r="G30" s="552" t="s">
        <v>708</v>
      </c>
      <c r="H30" s="196">
        <v>21</v>
      </c>
      <c r="I30" s="196">
        <v>17</v>
      </c>
      <c r="J30" s="196">
        <v>35</v>
      </c>
      <c r="K30" s="196">
        <v>34</v>
      </c>
      <c r="L30" s="100">
        <f>IF(ISERROR((+K30-H30)/H30),"-",(+K30-H30)/H30)</f>
        <v>0.61904761904761907</v>
      </c>
      <c r="M30" s="758">
        <v>46</v>
      </c>
      <c r="N30" s="534">
        <v>64</v>
      </c>
      <c r="O30" s="535">
        <v>73</v>
      </c>
    </row>
    <row r="31" spans="2:15" ht="15" customHeight="1">
      <c r="B31" s="44">
        <v>200</v>
      </c>
      <c r="C31" s="48" t="s">
        <v>726</v>
      </c>
      <c r="D31" s="526"/>
      <c r="E31" s="91" t="s">
        <v>418</v>
      </c>
      <c r="F31" s="552" t="s">
        <v>708</v>
      </c>
      <c r="G31" s="552" t="s">
        <v>708</v>
      </c>
      <c r="H31" s="196">
        <v>1</v>
      </c>
      <c r="I31" s="196">
        <v>1</v>
      </c>
      <c r="J31" s="196">
        <v>3</v>
      </c>
      <c r="K31" s="196">
        <v>3</v>
      </c>
      <c r="L31" s="100">
        <f>IF(ISERROR((+K31-H31)/H31),"-",(+K31-H31)/H31)</f>
        <v>2</v>
      </c>
      <c r="M31" s="758">
        <v>3</v>
      </c>
      <c r="N31" s="534">
        <v>4</v>
      </c>
      <c r="O31" s="535">
        <v>5</v>
      </c>
    </row>
    <row r="32" spans="2:15" ht="15" customHeight="1">
      <c r="B32" s="44">
        <v>197</v>
      </c>
      <c r="C32" s="48" t="s">
        <v>727</v>
      </c>
      <c r="D32" s="526"/>
      <c r="E32" s="91" t="s">
        <v>419</v>
      </c>
      <c r="F32" s="552" t="s">
        <v>708</v>
      </c>
      <c r="G32" s="552" t="s">
        <v>708</v>
      </c>
      <c r="H32" s="196">
        <v>3</v>
      </c>
      <c r="I32" s="196">
        <v>0</v>
      </c>
      <c r="J32" s="196">
        <v>5</v>
      </c>
      <c r="K32" s="196" t="s">
        <v>187</v>
      </c>
      <c r="L32" s="100" t="str">
        <f>IF(ISERROR((+K32-H32)/H32),"-",(+K32-H32)/H32)</f>
        <v>-</v>
      </c>
      <c r="M32" s="758">
        <v>5</v>
      </c>
      <c r="N32" s="534">
        <v>7</v>
      </c>
      <c r="O32" s="535">
        <v>6</v>
      </c>
    </row>
    <row r="33" spans="2:16" ht="15" customHeight="1">
      <c r="B33" s="44">
        <v>195</v>
      </c>
      <c r="C33" s="48" t="s">
        <v>728</v>
      </c>
      <c r="D33" s="526"/>
      <c r="E33" s="91" t="s">
        <v>420</v>
      </c>
      <c r="F33" s="552"/>
      <c r="G33" s="552"/>
      <c r="H33" s="196">
        <v>0</v>
      </c>
      <c r="I33" s="196">
        <v>1</v>
      </c>
      <c r="J33" s="196">
        <v>0</v>
      </c>
      <c r="K33" s="196" t="s">
        <v>187</v>
      </c>
      <c r="L33" s="100" t="str">
        <f>IF(ISERROR((+K33-H33)/H33),"-",(+K33-H33)/H33)</f>
        <v>-</v>
      </c>
      <c r="M33" s="758">
        <v>0</v>
      </c>
      <c r="N33" s="534">
        <v>0</v>
      </c>
      <c r="O33" s="535">
        <v>0</v>
      </c>
    </row>
    <row r="34" spans="2:16" ht="7.5" customHeight="1">
      <c r="C34" s="48"/>
      <c r="D34" s="526"/>
      <c r="E34" s="157"/>
      <c r="F34" s="553"/>
      <c r="G34" s="553"/>
      <c r="H34" s="197"/>
      <c r="I34" s="197"/>
      <c r="J34" s="197"/>
      <c r="K34" s="197"/>
      <c r="L34" s="156"/>
      <c r="M34" s="156"/>
      <c r="N34" s="156"/>
      <c r="O34" s="156"/>
    </row>
    <row r="35" spans="2:16" ht="15" customHeight="1">
      <c r="C35" s="48"/>
      <c r="D35" s="526"/>
      <c r="E35" s="328" t="s">
        <v>397</v>
      </c>
      <c r="F35" s="555"/>
      <c r="G35" s="555"/>
      <c r="H35" s="310">
        <f>IF(ISERROR(+H29/H27),"-",+H29/H27)</f>
        <v>0.67567567567567566</v>
      </c>
      <c r="I35" s="310">
        <f>IF(ISERROR(+I29/I27),"-",+I29/I27)</f>
        <v>0.6785714285714286</v>
      </c>
      <c r="J35" s="310">
        <f>IF(ISERROR(+J29/J27),"-",+J29/J27)</f>
        <v>0.55844155844155841</v>
      </c>
      <c r="K35" s="428">
        <f>IF(ISERROR(+K29/K27),"-",+K29/K27)</f>
        <v>0.49333333333333335</v>
      </c>
      <c r="L35" s="428" t="s">
        <v>327</v>
      </c>
      <c r="M35" s="310">
        <f>IF(ISERROR(+M29/M27),"-",+M29/M27)</f>
        <v>0.57446808510638303</v>
      </c>
      <c r="N35" s="325">
        <f>IF(ISERROR(+N29/N27),"-",+N29/N27)</f>
        <v>0.59523809523809523</v>
      </c>
      <c r="O35" s="325">
        <f>IF(ISERROR(+O29/O27),"-",+O29/O27)</f>
        <v>0.64122137404580148</v>
      </c>
    </row>
    <row r="36" spans="2:16" ht="15" customHeight="1">
      <c r="B36" s="44">
        <v>211</v>
      </c>
      <c r="C36" s="48" t="s">
        <v>729</v>
      </c>
      <c r="D36" s="526"/>
      <c r="E36" s="329" t="s">
        <v>398</v>
      </c>
      <c r="F36" s="557"/>
      <c r="G36" s="557"/>
      <c r="H36" s="326">
        <v>0.72136563876651982</v>
      </c>
      <c r="I36" s="326">
        <v>0.7142857142857143</v>
      </c>
      <c r="J36" s="326">
        <v>0.70541259982253768</v>
      </c>
      <c r="K36" s="639">
        <v>0.58319870759289172</v>
      </c>
      <c r="L36" s="255" t="s">
        <v>327</v>
      </c>
      <c r="M36" s="327" t="s">
        <v>327</v>
      </c>
      <c r="N36" s="327" t="s">
        <v>327</v>
      </c>
      <c r="O36" s="327" t="s">
        <v>327</v>
      </c>
    </row>
    <row r="37" spans="2:16" ht="6.95" customHeight="1">
      <c r="D37" s="526"/>
      <c r="E37" s="827"/>
      <c r="F37" s="827"/>
      <c r="G37" s="827"/>
      <c r="H37" s="827"/>
      <c r="I37" s="827"/>
      <c r="J37" s="827"/>
      <c r="K37" s="827"/>
      <c r="L37" s="827"/>
      <c r="M37" s="704"/>
      <c r="N37" s="704"/>
      <c r="O37" s="118"/>
      <c r="P37" s="118"/>
    </row>
    <row r="38" spans="2:16">
      <c r="C38" s="48"/>
      <c r="D38" s="526"/>
      <c r="E38" s="844" t="s">
        <v>498</v>
      </c>
      <c r="F38" s="844"/>
      <c r="G38" s="844"/>
      <c r="H38" s="844"/>
      <c r="I38" s="844"/>
      <c r="J38" s="844"/>
      <c r="K38" s="844"/>
      <c r="L38" s="844"/>
      <c r="M38" s="844"/>
      <c r="N38" s="844"/>
      <c r="O38" s="844"/>
    </row>
    <row r="39" spans="2:16" ht="7.5" customHeight="1">
      <c r="C39" s="48"/>
      <c r="D39" s="526"/>
      <c r="E39" s="827"/>
      <c r="F39" s="827"/>
      <c r="G39" s="827"/>
      <c r="H39" s="827"/>
      <c r="I39" s="827"/>
      <c r="J39" s="827"/>
      <c r="K39" s="827"/>
      <c r="L39" s="827"/>
      <c r="M39" s="704"/>
      <c r="N39" s="118"/>
      <c r="O39" s="118"/>
    </row>
    <row r="40" spans="2:16" ht="15" customHeight="1">
      <c r="C40" s="48"/>
      <c r="D40" s="526"/>
      <c r="E40" s="121" t="s">
        <v>260</v>
      </c>
      <c r="F40" s="558"/>
      <c r="G40" s="559"/>
      <c r="H40" s="123"/>
      <c r="I40" s="122"/>
      <c r="J40" s="122"/>
      <c r="K40" s="122"/>
      <c r="L40" s="123"/>
      <c r="M40" s="123"/>
      <c r="N40" s="124"/>
      <c r="O40" s="124"/>
    </row>
    <row r="41" spans="2:16" ht="15" customHeight="1">
      <c r="C41" s="48"/>
      <c r="D41" s="526"/>
      <c r="E41" s="814"/>
      <c r="F41" s="814"/>
      <c r="G41" s="814"/>
      <c r="H41" s="814"/>
      <c r="I41" s="814"/>
      <c r="J41" s="814"/>
      <c r="K41" s="814"/>
      <c r="L41" s="814"/>
      <c r="M41" s="814"/>
      <c r="N41" s="814"/>
      <c r="O41" s="814"/>
    </row>
    <row r="42" spans="2:16" ht="15" customHeight="1">
      <c r="C42" s="48"/>
      <c r="D42" s="526"/>
      <c r="E42" s="814"/>
      <c r="F42" s="814"/>
      <c r="G42" s="814"/>
      <c r="H42" s="814"/>
      <c r="I42" s="814"/>
      <c r="J42" s="814"/>
      <c r="K42" s="814"/>
      <c r="L42" s="814"/>
      <c r="M42" s="814"/>
      <c r="N42" s="814"/>
      <c r="O42" s="814"/>
    </row>
    <row r="43" spans="2:16" ht="7.5" customHeight="1">
      <c r="D43" s="526"/>
    </row>
    <row r="44" spans="2:16" ht="15" customHeight="1">
      <c r="D44" s="526"/>
    </row>
    <row r="45" spans="2:16" ht="15" customHeight="1">
      <c r="D45" s="526"/>
    </row>
    <row r="46" spans="2:16" ht="15" customHeight="1">
      <c r="D46" s="526"/>
    </row>
    <row r="47" spans="2:16" ht="15" customHeight="1">
      <c r="D47" s="526"/>
    </row>
    <row r="48" spans="2:16" ht="15" customHeight="1">
      <c r="D48" s="526"/>
    </row>
    <row r="49" spans="4:4" s="1" customFormat="1" ht="15" customHeight="1">
      <c r="D49" s="526"/>
    </row>
  </sheetData>
  <mergeCells count="9">
    <mergeCell ref="R5:V5"/>
    <mergeCell ref="E41:O42"/>
    <mergeCell ref="E39:L39"/>
    <mergeCell ref="E25:O25"/>
    <mergeCell ref="E6:O6"/>
    <mergeCell ref="E7:O7"/>
    <mergeCell ref="E10:O10"/>
    <mergeCell ref="E38:O38"/>
    <mergeCell ref="E37:L37"/>
  </mergeCells>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V49"/>
  <sheetViews>
    <sheetView showGridLines="0" topLeftCell="D3" zoomScaleNormal="100" workbookViewId="0">
      <selection activeCell="U42" sqref="U42"/>
    </sheetView>
  </sheetViews>
  <sheetFormatPr defaultColWidth="9.140625" defaultRowHeight="15" customHeight="1"/>
  <cols>
    <col min="1" max="1" width="9.140625" style="32" hidden="1" customWidth="1"/>
    <col min="2" max="2" width="8" style="44" hidden="1" customWidth="1"/>
    <col min="3" max="3" width="10" style="32" hidden="1" customWidth="1"/>
    <col min="4" max="4" width="10" style="50" customWidth="1"/>
    <col min="5" max="5" width="32.85546875" style="1" customWidth="1"/>
    <col min="6" max="7" width="10" style="1" customWidth="1"/>
    <col min="8" max="8" width="10" style="66" customWidth="1"/>
    <col min="9" max="11" width="10" style="1" customWidth="1"/>
    <col min="12" max="15" width="10" style="66" customWidth="1"/>
    <col min="16" max="16384" width="9.140625" style="1"/>
  </cols>
  <sheetData>
    <row r="1" spans="1:22" s="32" customFormat="1" ht="15" hidden="1" customHeight="1">
      <c r="A1" s="32" t="s">
        <v>254</v>
      </c>
      <c r="B1" s="44">
        <v>14</v>
      </c>
      <c r="F1" s="44">
        <v>19</v>
      </c>
      <c r="G1" s="44">
        <f>F1+1</f>
        <v>20</v>
      </c>
      <c r="H1" s="44">
        <f>G1+1</f>
        <v>21</v>
      </c>
      <c r="I1" s="44">
        <f>H1+1</f>
        <v>22</v>
      </c>
      <c r="J1" s="44">
        <f>I1+1</f>
        <v>23</v>
      </c>
      <c r="K1" s="44">
        <f>J1+1</f>
        <v>24</v>
      </c>
      <c r="L1" s="45"/>
      <c r="M1" s="45"/>
      <c r="N1" s="44">
        <f>+K1+3</f>
        <v>27</v>
      </c>
      <c r="O1" s="45">
        <f>+N1+1</f>
        <v>28</v>
      </c>
    </row>
    <row r="2" spans="1:22" s="32" customFormat="1" ht="15" hidden="1" customHeight="1">
      <c r="B2" s="44"/>
      <c r="H2" s="64"/>
      <c r="L2" s="64"/>
      <c r="M2" s="64"/>
      <c r="N2" s="64"/>
      <c r="O2" s="64"/>
    </row>
    <row r="4" spans="1:22" ht="15" customHeight="1">
      <c r="E4" s="815" t="str">
        <f>"Attachment 2: Data Summary and Detail Tables - "&amp;'Campus Selector'!$G$3</f>
        <v>Attachment 2: Data Summary and Detail Tables - Canton</v>
      </c>
      <c r="F4" s="815"/>
      <c r="G4" s="815"/>
      <c r="H4" s="815"/>
      <c r="I4" s="815"/>
      <c r="J4" s="815"/>
      <c r="K4" s="815"/>
      <c r="L4" s="815"/>
      <c r="M4" s="815"/>
      <c r="N4" s="815"/>
      <c r="O4" s="815"/>
    </row>
    <row r="5" spans="1:22" ht="15" customHeight="1">
      <c r="E5" s="816" t="s">
        <v>351</v>
      </c>
      <c r="F5" s="816"/>
      <c r="G5" s="816"/>
      <c r="H5" s="816"/>
      <c r="I5" s="816"/>
      <c r="J5" s="816"/>
      <c r="K5" s="816"/>
      <c r="L5" s="816"/>
      <c r="M5" s="816"/>
      <c r="N5" s="816"/>
      <c r="O5" s="816"/>
      <c r="R5" s="813"/>
      <c r="S5" s="813"/>
      <c r="T5" s="813"/>
      <c r="U5" s="813"/>
      <c r="V5" s="813"/>
    </row>
    <row r="6" spans="1:22" ht="15" customHeight="1">
      <c r="E6" s="46"/>
      <c r="F6" s="65"/>
      <c r="G6" s="65"/>
      <c r="H6" s="65"/>
      <c r="I6" s="65"/>
      <c r="J6" s="65"/>
      <c r="K6" s="65"/>
      <c r="L6" s="65"/>
      <c r="M6" s="65"/>
    </row>
    <row r="7" spans="1:22" ht="45" customHeight="1">
      <c r="B7" s="47" t="s">
        <v>253</v>
      </c>
      <c r="C7" s="48"/>
      <c r="D7" s="526"/>
      <c r="E7" s="715" t="s">
        <v>470</v>
      </c>
      <c r="F7" s="98" t="s">
        <v>38</v>
      </c>
      <c r="G7" s="98" t="s">
        <v>64</v>
      </c>
      <c r="H7" s="98" t="s">
        <v>65</v>
      </c>
      <c r="I7" s="98" t="s">
        <v>66</v>
      </c>
      <c r="J7" s="98" t="s">
        <v>67</v>
      </c>
      <c r="K7" s="98" t="s">
        <v>68</v>
      </c>
      <c r="L7" s="98" t="s">
        <v>39</v>
      </c>
      <c r="M7" s="98" t="s">
        <v>423</v>
      </c>
      <c r="N7" s="98" t="s">
        <v>424</v>
      </c>
      <c r="O7" s="98" t="s">
        <v>425</v>
      </c>
    </row>
    <row r="8" spans="1:22" ht="15" customHeight="1">
      <c r="B8" s="47"/>
      <c r="C8" s="48"/>
      <c r="D8" s="526"/>
      <c r="E8" s="817" t="s">
        <v>89</v>
      </c>
      <c r="F8" s="818"/>
      <c r="G8" s="818"/>
      <c r="H8" s="818"/>
      <c r="I8" s="818"/>
      <c r="J8" s="818"/>
      <c r="K8" s="818"/>
      <c r="L8" s="818"/>
      <c r="M8" s="818"/>
      <c r="N8" s="818"/>
      <c r="O8" s="819"/>
    </row>
    <row r="9" spans="1:22" ht="15" customHeight="1">
      <c r="B9" s="47"/>
      <c r="C9" s="48"/>
      <c r="D9" s="526"/>
      <c r="E9" s="199" t="s">
        <v>84</v>
      </c>
      <c r="F9" s="200">
        <f t="shared" ref="F9:K9" si="0">SUM(F10:F16)</f>
        <v>674</v>
      </c>
      <c r="G9" s="200">
        <f t="shared" si="0"/>
        <v>633</v>
      </c>
      <c r="H9" s="200">
        <f t="shared" si="0"/>
        <v>923</v>
      </c>
      <c r="I9" s="200">
        <f t="shared" si="0"/>
        <v>855</v>
      </c>
      <c r="J9" s="200">
        <f t="shared" si="0"/>
        <v>964</v>
      </c>
      <c r="K9" s="200">
        <f t="shared" si="0"/>
        <v>964</v>
      </c>
      <c r="L9" s="275">
        <f>(+K9-F9)/F9</f>
        <v>0.43026706231454004</v>
      </c>
      <c r="M9" s="533">
        <f>IF(SUM(M10:M16)=0,"",SUM(M10:M16))</f>
        <v>902</v>
      </c>
      <c r="N9" s="534">
        <f t="shared" ref="N9:O9" si="1">IF(SUM(N10:N16)=0,"",SUM(N10:N16))</f>
        <v>1145</v>
      </c>
      <c r="O9" s="535">
        <f t="shared" si="1"/>
        <v>1372</v>
      </c>
    </row>
    <row r="10" spans="1:22" ht="15" customHeight="1">
      <c r="B10" s="47">
        <v>172</v>
      </c>
      <c r="C10" s="48" t="str">
        <f>TEXT($B$1,"00")&amp;"."&amp;TEXT($B10,"000")&amp;"."&amp;TEXT('Campus Selector'!$G$6,"00")</f>
        <v>14.172.25</v>
      </c>
      <c r="D10" s="526"/>
      <c r="E10" s="139" t="s">
        <v>90</v>
      </c>
      <c r="F10" s="79">
        <v>70</v>
      </c>
      <c r="G10" s="79">
        <v>115</v>
      </c>
      <c r="H10" s="79">
        <v>184</v>
      </c>
      <c r="I10" s="79">
        <v>198</v>
      </c>
      <c r="J10" s="79">
        <v>175</v>
      </c>
      <c r="K10" s="79">
        <v>152</v>
      </c>
      <c r="L10" s="114">
        <f t="shared" ref="L10:L16" si="2">IF(ISERROR((+K10-F10)/F10),"-",(+K10-F10)/F10)</f>
        <v>1.1714285714285715</v>
      </c>
      <c r="M10" s="536">
        <v>80</v>
      </c>
      <c r="N10" s="537">
        <v>95</v>
      </c>
      <c r="O10" s="538">
        <v>112</v>
      </c>
    </row>
    <row r="11" spans="1:22" ht="15" customHeight="1">
      <c r="B11" s="47">
        <v>173</v>
      </c>
      <c r="C11" s="48" t="str">
        <f>TEXT($B$1,"00")&amp;"."&amp;TEXT($B11,"000")&amp;"."&amp;TEXT('Campus Selector'!$G$6,"00")</f>
        <v>14.173.25</v>
      </c>
      <c r="D11" s="526"/>
      <c r="E11" s="139" t="s">
        <v>85</v>
      </c>
      <c r="F11" s="79">
        <v>513</v>
      </c>
      <c r="G11" s="79">
        <v>391</v>
      </c>
      <c r="H11" s="79">
        <v>510</v>
      </c>
      <c r="I11" s="79">
        <v>479</v>
      </c>
      <c r="J11" s="79">
        <v>430</v>
      </c>
      <c r="K11" s="79">
        <v>452</v>
      </c>
      <c r="L11" s="114">
        <f t="shared" si="2"/>
        <v>-0.1189083820662768</v>
      </c>
      <c r="M11" s="536">
        <v>422</v>
      </c>
      <c r="N11" s="537">
        <v>620</v>
      </c>
      <c r="O11" s="538">
        <v>810</v>
      </c>
    </row>
    <row r="12" spans="1:22" ht="15" customHeight="1">
      <c r="B12" s="47">
        <v>174</v>
      </c>
      <c r="C12" s="48" t="str">
        <f>TEXT($B$1,"00")&amp;"."&amp;TEXT($B12,"000")&amp;"."&amp;TEXT('Campus Selector'!$G$6,"00")</f>
        <v>14.174.25</v>
      </c>
      <c r="D12" s="526"/>
      <c r="E12" s="138" t="s">
        <v>86</v>
      </c>
      <c r="F12" s="79">
        <v>91</v>
      </c>
      <c r="G12" s="79">
        <v>127</v>
      </c>
      <c r="H12" s="79">
        <v>229</v>
      </c>
      <c r="I12" s="79">
        <v>178</v>
      </c>
      <c r="J12" s="79">
        <v>359</v>
      </c>
      <c r="K12" s="79">
        <v>360</v>
      </c>
      <c r="L12" s="114">
        <f t="shared" si="2"/>
        <v>2.9560439560439562</v>
      </c>
      <c r="M12" s="536">
        <v>400</v>
      </c>
      <c r="N12" s="537">
        <v>430</v>
      </c>
      <c r="O12" s="538">
        <v>450</v>
      </c>
    </row>
    <row r="13" spans="1:22" ht="15" hidden="1" customHeight="1">
      <c r="B13" s="47">
        <v>175</v>
      </c>
      <c r="C13" s="48" t="str">
        <f>TEXT($B$1,"00")&amp;"."&amp;TEXT($B13,"000")&amp;"."&amp;TEXT('Campus Selector'!$G$6,"00")</f>
        <v>14.175.25</v>
      </c>
      <c r="D13" s="526"/>
      <c r="E13" s="139" t="s">
        <v>87</v>
      </c>
      <c r="F13" s="79" t="s">
        <v>187</v>
      </c>
      <c r="G13" s="79" t="s">
        <v>187</v>
      </c>
      <c r="H13" s="79" t="s">
        <v>187</v>
      </c>
      <c r="I13" s="79" t="s">
        <v>187</v>
      </c>
      <c r="J13" s="79" t="s">
        <v>187</v>
      </c>
      <c r="K13" s="79" t="s">
        <v>187</v>
      </c>
      <c r="L13" s="114" t="str">
        <f t="shared" si="2"/>
        <v>-</v>
      </c>
      <c r="M13" s="536"/>
      <c r="N13" s="537"/>
      <c r="O13" s="538"/>
    </row>
    <row r="14" spans="1:22" ht="15" hidden="1" customHeight="1">
      <c r="B14" s="47">
        <v>176</v>
      </c>
      <c r="C14" s="48" t="str">
        <f>TEXT($B$1,"00")&amp;"."&amp;TEXT($B14,"000")&amp;"."&amp;TEXT('Campus Selector'!$G$6,"00")</f>
        <v>14.176.25</v>
      </c>
      <c r="D14" s="526"/>
      <c r="E14" s="139" t="s">
        <v>88</v>
      </c>
      <c r="F14" s="79" t="s">
        <v>187</v>
      </c>
      <c r="G14" s="79" t="s">
        <v>187</v>
      </c>
      <c r="H14" s="79" t="s">
        <v>187</v>
      </c>
      <c r="I14" s="79" t="s">
        <v>187</v>
      </c>
      <c r="J14" s="79" t="s">
        <v>187</v>
      </c>
      <c r="K14" s="79" t="s">
        <v>187</v>
      </c>
      <c r="L14" s="114" t="str">
        <f t="shared" si="2"/>
        <v>-</v>
      </c>
      <c r="M14" s="536"/>
      <c r="N14" s="537"/>
      <c r="O14" s="538"/>
    </row>
    <row r="15" spans="1:22" ht="15" hidden="1" customHeight="1">
      <c r="B15" s="47">
        <v>177</v>
      </c>
      <c r="C15" s="48" t="str">
        <f>TEXT($B$1,"00")&amp;"."&amp;TEXT($B15,"000")&amp;"."&amp;TEXT('Campus Selector'!$G$6,"00")</f>
        <v>14.177.25</v>
      </c>
      <c r="D15" s="526"/>
      <c r="E15" s="139" t="s">
        <v>35</v>
      </c>
      <c r="F15" s="79" t="s">
        <v>187</v>
      </c>
      <c r="G15" s="79" t="s">
        <v>187</v>
      </c>
      <c r="H15" s="79" t="s">
        <v>187</v>
      </c>
      <c r="I15" s="79" t="s">
        <v>187</v>
      </c>
      <c r="J15" s="79" t="s">
        <v>187</v>
      </c>
      <c r="K15" s="79" t="s">
        <v>187</v>
      </c>
      <c r="L15" s="114" t="str">
        <f t="shared" si="2"/>
        <v>-</v>
      </c>
      <c r="M15" s="536"/>
      <c r="N15" s="537"/>
      <c r="O15" s="538"/>
    </row>
    <row r="16" spans="1:22" ht="15" hidden="1" customHeight="1">
      <c r="B16" s="47">
        <v>178</v>
      </c>
      <c r="C16" s="48" t="str">
        <f>TEXT($B$1,"00")&amp;"."&amp;TEXT($B16,"000")&amp;"."&amp;TEXT('Campus Selector'!$G$6,"00")</f>
        <v>14.178.25</v>
      </c>
      <c r="D16" s="526"/>
      <c r="E16" s="138" t="s">
        <v>33</v>
      </c>
      <c r="F16" s="79" t="s">
        <v>187</v>
      </c>
      <c r="G16" s="79" t="s">
        <v>187</v>
      </c>
      <c r="H16" s="79" t="s">
        <v>187</v>
      </c>
      <c r="I16" s="79" t="s">
        <v>187</v>
      </c>
      <c r="J16" s="79" t="s">
        <v>187</v>
      </c>
      <c r="K16" s="79" t="s">
        <v>187</v>
      </c>
      <c r="L16" s="114" t="str">
        <f t="shared" si="2"/>
        <v>-</v>
      </c>
      <c r="M16" s="301"/>
      <c r="N16" s="537"/>
      <c r="O16" s="538"/>
    </row>
    <row r="17" spans="3:16" ht="6.95" customHeight="1">
      <c r="D17" s="526"/>
      <c r="E17" s="827"/>
      <c r="F17" s="827"/>
      <c r="G17" s="827"/>
      <c r="H17" s="827"/>
      <c r="I17" s="827"/>
      <c r="J17" s="827"/>
      <c r="K17" s="827"/>
      <c r="L17" s="827"/>
      <c r="M17" s="704"/>
      <c r="N17" s="704"/>
      <c r="O17" s="118"/>
      <c r="P17" s="118"/>
    </row>
    <row r="18" spans="3:16" ht="15" customHeight="1">
      <c r="C18" s="48"/>
      <c r="D18" s="526"/>
      <c r="E18" s="827" t="s">
        <v>498</v>
      </c>
      <c r="F18" s="827"/>
      <c r="G18" s="827"/>
      <c r="H18" s="827"/>
      <c r="I18" s="827"/>
      <c r="J18" s="827"/>
      <c r="K18" s="827"/>
      <c r="L18" s="827"/>
      <c r="M18" s="704"/>
      <c r="N18" s="198"/>
      <c r="O18" s="198"/>
    </row>
    <row r="19" spans="3:16" ht="7.5" customHeight="1">
      <c r="C19" s="48"/>
      <c r="D19" s="526"/>
      <c r="E19" s="704"/>
      <c r="F19" s="704"/>
      <c r="G19" s="704"/>
      <c r="H19" s="704"/>
      <c r="I19" s="704"/>
      <c r="J19" s="704"/>
      <c r="K19" s="704"/>
      <c r="L19" s="704"/>
      <c r="M19" s="704"/>
      <c r="N19" s="198"/>
      <c r="O19" s="198"/>
    </row>
    <row r="20" spans="3:16" ht="15" customHeight="1">
      <c r="C20" s="48"/>
      <c r="D20" s="526"/>
      <c r="E20" s="756" t="s">
        <v>735</v>
      </c>
      <c r="F20" s="118"/>
      <c r="G20" s="118"/>
      <c r="H20" s="198"/>
      <c r="I20" s="118"/>
      <c r="J20" s="118"/>
      <c r="K20" s="118"/>
      <c r="L20" s="198"/>
      <c r="M20" s="198"/>
      <c r="N20" s="198"/>
      <c r="O20" s="198"/>
    </row>
    <row r="21" spans="3:16" ht="7.5" customHeight="1">
      <c r="C21" s="48"/>
      <c r="D21" s="526"/>
      <c r="E21" s="756"/>
      <c r="F21" s="118"/>
      <c r="G21" s="118"/>
      <c r="H21" s="198"/>
      <c r="I21" s="118"/>
      <c r="J21" s="118"/>
      <c r="K21" s="118"/>
      <c r="L21" s="198"/>
      <c r="M21" s="198"/>
      <c r="N21" s="198"/>
      <c r="O21" s="198"/>
    </row>
    <row r="22" spans="3:16" ht="15" customHeight="1">
      <c r="C22" s="48"/>
      <c r="D22" s="526"/>
      <c r="E22" s="121" t="s">
        <v>260</v>
      </c>
      <c r="F22" s="121"/>
      <c r="G22" s="122"/>
      <c r="H22" s="123"/>
      <c r="I22" s="122"/>
      <c r="J22" s="122"/>
      <c r="K22" s="122"/>
      <c r="L22" s="123"/>
      <c r="M22" s="123"/>
      <c r="N22" s="124"/>
      <c r="O22" s="124"/>
    </row>
    <row r="23" spans="3:16" ht="15" customHeight="1">
      <c r="C23" s="48"/>
      <c r="D23" s="526"/>
      <c r="E23" s="814"/>
      <c r="F23" s="814"/>
      <c r="G23" s="814"/>
      <c r="H23" s="814"/>
      <c r="I23" s="814"/>
      <c r="J23" s="814"/>
      <c r="K23" s="814"/>
      <c r="L23" s="814"/>
      <c r="M23" s="814"/>
      <c r="N23" s="814"/>
      <c r="O23" s="814"/>
    </row>
    <row r="24" spans="3:16" ht="15" customHeight="1">
      <c r="C24" s="48"/>
      <c r="D24" s="526"/>
      <c r="E24" s="814"/>
      <c r="F24" s="814"/>
      <c r="G24" s="814"/>
      <c r="H24" s="814"/>
      <c r="I24" s="814"/>
      <c r="J24" s="814"/>
      <c r="K24" s="814"/>
      <c r="L24" s="814"/>
      <c r="M24" s="814"/>
      <c r="N24" s="814"/>
      <c r="O24" s="814"/>
    </row>
    <row r="25" spans="3:16" ht="15" customHeight="1">
      <c r="D25" s="526"/>
    </row>
    <row r="26" spans="3:16" ht="15" customHeight="1">
      <c r="D26" s="526"/>
    </row>
    <row r="27" spans="3:16" ht="15" customHeight="1">
      <c r="D27" s="526"/>
    </row>
    <row r="28" spans="3:16" ht="15" customHeight="1">
      <c r="D28" s="526"/>
    </row>
    <row r="29" spans="3:16" ht="15" customHeight="1">
      <c r="D29" s="526"/>
    </row>
    <row r="30" spans="3:16" ht="15" customHeight="1">
      <c r="D30" s="526"/>
    </row>
    <row r="31" spans="3:16" ht="15" customHeight="1">
      <c r="D31" s="526"/>
    </row>
    <row r="32" spans="3:16" ht="15" customHeight="1">
      <c r="D32" s="526"/>
    </row>
    <row r="33" spans="4:4" ht="15" customHeight="1">
      <c r="D33" s="526"/>
    </row>
    <row r="34" spans="4:4" ht="15" customHeight="1">
      <c r="D34" s="526"/>
    </row>
    <row r="35" spans="4:4" ht="15" customHeight="1">
      <c r="D35" s="526"/>
    </row>
    <row r="36" spans="4:4" ht="15" customHeight="1">
      <c r="D36" s="526"/>
    </row>
    <row r="37" spans="4:4" ht="15" customHeight="1">
      <c r="D37" s="526"/>
    </row>
    <row r="38" spans="4:4" ht="15" customHeight="1">
      <c r="D38" s="526"/>
    </row>
    <row r="39" spans="4:4" ht="15" customHeight="1">
      <c r="D39" s="526"/>
    </row>
    <row r="40" spans="4:4" ht="15" customHeight="1">
      <c r="D40" s="526"/>
    </row>
    <row r="41" spans="4:4" ht="15" customHeight="1">
      <c r="D41" s="526"/>
    </row>
    <row r="42" spans="4:4" ht="15" customHeight="1">
      <c r="D42" s="526"/>
    </row>
    <row r="43" spans="4:4" ht="15" customHeight="1">
      <c r="D43" s="526"/>
    </row>
    <row r="44" spans="4:4" ht="15" customHeight="1">
      <c r="D44" s="526"/>
    </row>
    <row r="45" spans="4:4" ht="15" customHeight="1">
      <c r="D45" s="526"/>
    </row>
    <row r="46" spans="4:4" ht="15" customHeight="1">
      <c r="D46" s="526"/>
    </row>
    <row r="47" spans="4:4" ht="15" customHeight="1">
      <c r="D47" s="526"/>
    </row>
    <row r="48" spans="4:4" ht="15" customHeight="1">
      <c r="D48" s="526"/>
    </row>
    <row r="49" spans="4:4" ht="15" customHeight="1">
      <c r="D49" s="526"/>
    </row>
  </sheetData>
  <mergeCells count="7">
    <mergeCell ref="R5:V5"/>
    <mergeCell ref="E23:O24"/>
    <mergeCell ref="E17:L17"/>
    <mergeCell ref="E4:O4"/>
    <mergeCell ref="E5:O5"/>
    <mergeCell ref="E8:O8"/>
    <mergeCell ref="E18:L18"/>
  </mergeCells>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T50"/>
  <sheetViews>
    <sheetView showGridLines="0" topLeftCell="D3" zoomScaleNormal="100" workbookViewId="0">
      <selection activeCell="N8" sqref="N8"/>
    </sheetView>
  </sheetViews>
  <sheetFormatPr defaultColWidth="9.140625" defaultRowHeight="15" customHeight="1"/>
  <cols>
    <col min="1" max="1" width="9.140625" style="32" hidden="1" customWidth="1"/>
    <col min="2" max="2" width="7.7109375" style="44" hidden="1" customWidth="1"/>
    <col min="3" max="3" width="12.28515625" style="44" hidden="1" customWidth="1"/>
    <col min="4" max="4" width="10" style="50" customWidth="1"/>
    <col min="5" max="5" width="1.28515625" style="1" customWidth="1"/>
    <col min="6" max="6" width="36.5703125" style="1" customWidth="1"/>
    <col min="7" max="10" width="10.85546875" style="1" customWidth="1"/>
    <col min="11" max="11" width="11.7109375" style="1" customWidth="1"/>
    <col min="12" max="13" width="10.85546875" style="1" customWidth="1"/>
    <col min="14" max="16384" width="9.140625" style="1"/>
  </cols>
  <sheetData>
    <row r="1" spans="1:20" s="32" customFormat="1" ht="15" hidden="1" customHeight="1">
      <c r="A1" s="32" t="s">
        <v>254</v>
      </c>
      <c r="B1" s="44">
        <v>11</v>
      </c>
      <c r="C1" s="44"/>
      <c r="H1" s="32" t="e">
        <f>+#REF!+1</f>
        <v>#REF!</v>
      </c>
      <c r="I1" s="32" t="e">
        <f>+H1+1</f>
        <v>#REF!</v>
      </c>
      <c r="J1" s="32" t="e">
        <f>+I1+1</f>
        <v>#REF!</v>
      </c>
      <c r="K1" s="32" t="e">
        <f>+J1+1</f>
        <v>#REF!</v>
      </c>
      <c r="N1" s="32" t="e">
        <f>+K1+1</f>
        <v>#REF!</v>
      </c>
    </row>
    <row r="2" spans="1:20" s="32" customFormat="1" ht="15" hidden="1" customHeight="1">
      <c r="B2" s="44"/>
      <c r="C2" s="44"/>
      <c r="G2" s="32">
        <v>17</v>
      </c>
      <c r="H2" s="32">
        <v>18</v>
      </c>
      <c r="I2" s="32">
        <v>19</v>
      </c>
      <c r="J2" s="32">
        <v>20</v>
      </c>
      <c r="K2" s="32">
        <v>21</v>
      </c>
      <c r="L2" s="32">
        <v>22</v>
      </c>
      <c r="M2" s="32">
        <v>23</v>
      </c>
    </row>
    <row r="4" spans="1:20" ht="15" customHeight="1">
      <c r="E4" s="815" t="str">
        <f>"Attachment 2: Data Summary and Detail Tables - "&amp;'Campus Selector'!$G$3</f>
        <v>Attachment 2: Data Summary and Detail Tables - Canton</v>
      </c>
      <c r="F4" s="815"/>
      <c r="G4" s="815"/>
      <c r="H4" s="815"/>
      <c r="I4" s="815"/>
      <c r="J4" s="815"/>
      <c r="K4" s="815"/>
      <c r="L4" s="815"/>
      <c r="M4" s="815"/>
    </row>
    <row r="5" spans="1:20" ht="15" customHeight="1">
      <c r="E5" s="815" t="s">
        <v>503</v>
      </c>
      <c r="F5" s="815"/>
      <c r="G5" s="815"/>
      <c r="H5" s="815"/>
      <c r="I5" s="815"/>
      <c r="J5" s="815"/>
      <c r="K5" s="815"/>
      <c r="L5" s="815"/>
      <c r="M5" s="815"/>
      <c r="P5" s="813"/>
      <c r="Q5" s="813"/>
      <c r="R5" s="813"/>
      <c r="S5" s="813"/>
      <c r="T5" s="813"/>
    </row>
    <row r="6" spans="1:20" ht="15" customHeight="1">
      <c r="E6" s="395"/>
      <c r="F6" s="395"/>
      <c r="G6" s="395"/>
      <c r="H6" s="395"/>
      <c r="I6" s="395"/>
      <c r="J6" s="395"/>
      <c r="K6" s="395"/>
      <c r="L6" s="395"/>
      <c r="M6" s="395"/>
    </row>
    <row r="7" spans="1:20" ht="15" customHeight="1">
      <c r="D7" s="526"/>
      <c r="E7" s="429"/>
      <c r="F7" s="429"/>
      <c r="G7" s="429"/>
      <c r="H7" s="429"/>
      <c r="I7" s="860" t="s">
        <v>447</v>
      </c>
      <c r="J7" s="861"/>
      <c r="K7" s="429"/>
      <c r="L7" s="862" t="s">
        <v>569</v>
      </c>
      <c r="M7" s="863"/>
    </row>
    <row r="8" spans="1:20" ht="42" customHeight="1">
      <c r="B8" s="47" t="s">
        <v>271</v>
      </c>
      <c r="C8" s="47"/>
      <c r="D8" s="526"/>
      <c r="E8" s="864" t="s">
        <v>471</v>
      </c>
      <c r="F8" s="865"/>
      <c r="G8" s="388" t="s">
        <v>448</v>
      </c>
      <c r="H8" s="385" t="s">
        <v>449</v>
      </c>
      <c r="I8" s="387" t="s">
        <v>233</v>
      </c>
      <c r="J8" s="386" t="s">
        <v>235</v>
      </c>
      <c r="K8" s="387" t="s">
        <v>450</v>
      </c>
      <c r="L8" s="385" t="s">
        <v>233</v>
      </c>
      <c r="M8" s="386" t="s">
        <v>234</v>
      </c>
    </row>
    <row r="9" spans="1:20" ht="15" customHeight="1">
      <c r="B9" s="47"/>
      <c r="C9" s="47"/>
      <c r="D9" s="526"/>
      <c r="E9" s="344" t="s">
        <v>15</v>
      </c>
      <c r="F9" s="345"/>
      <c r="G9" s="216"/>
      <c r="H9" s="216"/>
      <c r="I9" s="216"/>
      <c r="J9" s="216"/>
      <c r="K9" s="389"/>
      <c r="L9" s="346"/>
      <c r="M9" s="348"/>
    </row>
    <row r="10" spans="1:20">
      <c r="B10" s="44">
        <v>238</v>
      </c>
      <c r="C10" s="48" t="str">
        <f>TEXT($B$1,"00")&amp;"."&amp;TEXT($B10,"000")&amp;"."&amp;TEXT('Campus Selector'!$G$6,"00")</f>
        <v>11.238.25</v>
      </c>
      <c r="D10" s="526"/>
      <c r="E10" s="222"/>
      <c r="F10" s="217" t="s">
        <v>19</v>
      </c>
      <c r="G10" s="218">
        <v>3.4454126798955218</v>
      </c>
      <c r="H10" s="218">
        <v>3.4440986094804003</v>
      </c>
      <c r="I10" s="219">
        <v>1.0430565180206202E-2</v>
      </c>
      <c r="J10" s="220" t="s">
        <v>709</v>
      </c>
      <c r="K10" s="218">
        <v>3.6560617194177847</v>
      </c>
      <c r="L10" s="219">
        <v>-0.84640544088047032</v>
      </c>
      <c r="M10" s="221" t="s">
        <v>710</v>
      </c>
    </row>
    <row r="11" spans="1:20" ht="15" customHeight="1">
      <c r="B11" s="44">
        <v>235</v>
      </c>
      <c r="C11" s="48" t="str">
        <f>TEXT($B$1,"00")&amp;"."&amp;TEXT($B11,"000")&amp;"."&amp;TEXT('Campus Selector'!$G$6,"00")</f>
        <v>11.235.25</v>
      </c>
      <c r="D11" s="526"/>
      <c r="E11" s="209"/>
      <c r="F11" s="154" t="s">
        <v>16</v>
      </c>
      <c r="G11" s="212">
        <v>3.2249208076137417</v>
      </c>
      <c r="H11" s="212">
        <v>3.2665417888908075</v>
      </c>
      <c r="I11" s="214">
        <v>-0.27814704151593989</v>
      </c>
      <c r="J11" s="213" t="s">
        <v>709</v>
      </c>
      <c r="K11" s="212">
        <v>3.4195619955261343</v>
      </c>
      <c r="L11" s="208">
        <v>-1.1103029127803545</v>
      </c>
      <c r="M11" s="215" t="s">
        <v>711</v>
      </c>
    </row>
    <row r="12" spans="1:20" ht="15" customHeight="1">
      <c r="B12" s="44">
        <v>236</v>
      </c>
      <c r="C12" s="48" t="str">
        <f>TEXT($B$1,"00")&amp;"."&amp;TEXT($B12,"000")&amp;"."&amp;TEXT('Campus Selector'!$G$6,"00")</f>
        <v>11.236.25</v>
      </c>
      <c r="D12" s="526"/>
      <c r="E12" s="222"/>
      <c r="F12" s="217" t="s">
        <v>17</v>
      </c>
      <c r="G12" s="218">
        <v>3.2030220490313539</v>
      </c>
      <c r="H12" s="218">
        <v>3.2330777730359732</v>
      </c>
      <c r="I12" s="219">
        <v>-0.18071301703180123</v>
      </c>
      <c r="J12" s="220" t="s">
        <v>709</v>
      </c>
      <c r="K12" s="218">
        <v>3.3061246553207106</v>
      </c>
      <c r="L12" s="219">
        <v>-0.62218710376249398</v>
      </c>
      <c r="M12" s="221" t="s">
        <v>710</v>
      </c>
    </row>
    <row r="13" spans="1:20" ht="15" customHeight="1">
      <c r="B13" s="44">
        <v>237</v>
      </c>
      <c r="C13" s="48" t="str">
        <f>TEXT($B$1,"00")&amp;"."&amp;TEXT($B13,"000")&amp;"."&amp;TEXT('Campus Selector'!$G$6,"00")</f>
        <v>11.237.25</v>
      </c>
      <c r="D13" s="526"/>
      <c r="E13" s="209"/>
      <c r="F13" s="154" t="s">
        <v>18</v>
      </c>
      <c r="G13" s="212">
        <v>3.0702451363647261</v>
      </c>
      <c r="H13" s="212">
        <v>3.1155707911756325</v>
      </c>
      <c r="I13" s="214">
        <v>-0.36870076084432601</v>
      </c>
      <c r="J13" s="213" t="s">
        <v>709</v>
      </c>
      <c r="K13" s="212">
        <v>3.2649932109990618</v>
      </c>
      <c r="L13" s="208">
        <v>-1.2596555535444525</v>
      </c>
      <c r="M13" s="215" t="s">
        <v>711</v>
      </c>
    </row>
    <row r="14" spans="1:20" ht="15" customHeight="1">
      <c r="B14" s="44">
        <v>248</v>
      </c>
      <c r="C14" s="48" t="str">
        <f>TEXT($B$1,"00")&amp;"."&amp;TEXT($B14,"000")&amp;"."&amp;TEXT('Campus Selector'!$G$6,"00")</f>
        <v>11.248.25</v>
      </c>
      <c r="D14" s="526"/>
      <c r="E14" s="222"/>
      <c r="F14" s="217" t="s">
        <v>302</v>
      </c>
      <c r="G14" s="218">
        <v>3.3245340395687037</v>
      </c>
      <c r="H14" s="218">
        <v>3.3334318999260226</v>
      </c>
      <c r="I14" s="219">
        <v>-4.890065791893982E-2</v>
      </c>
      <c r="J14" s="220" t="s">
        <v>709</v>
      </c>
      <c r="K14" s="218">
        <v>3.4081164672947502</v>
      </c>
      <c r="L14" s="219">
        <v>-0.36050860933064799</v>
      </c>
      <c r="M14" s="221" t="s">
        <v>709</v>
      </c>
    </row>
    <row r="15" spans="1:20" ht="15" customHeight="1">
      <c r="B15" s="44">
        <v>249</v>
      </c>
      <c r="C15" s="48" t="str">
        <f>TEXT($B$1,"00")&amp;"."&amp;TEXT($B15,"000")&amp;"."&amp;TEXT('Campus Selector'!$G$6,"00")</f>
        <v>11.249.25</v>
      </c>
      <c r="D15" s="526"/>
      <c r="E15" s="169"/>
      <c r="F15" s="335" t="s">
        <v>303</v>
      </c>
      <c r="G15" s="340">
        <v>3.997477644146882</v>
      </c>
      <c r="H15" s="340">
        <v>3.9365654481363284</v>
      </c>
      <c r="I15" s="342">
        <v>0.53203043778298231</v>
      </c>
      <c r="J15" s="341" t="s">
        <v>712</v>
      </c>
      <c r="K15" s="340">
        <v>4.0502656620398945</v>
      </c>
      <c r="L15" s="336">
        <v>-0.37390468222805456</v>
      </c>
      <c r="M15" s="343" t="s">
        <v>709</v>
      </c>
    </row>
    <row r="16" spans="1:20" ht="7.5" customHeight="1">
      <c r="C16" s="48"/>
      <c r="D16" s="526"/>
      <c r="E16" s="154"/>
      <c r="F16" s="211"/>
      <c r="G16" s="208"/>
      <c r="H16" s="208"/>
      <c r="I16" s="208"/>
      <c r="J16" s="213"/>
      <c r="K16" s="208"/>
      <c r="L16" s="208"/>
      <c r="M16" s="213"/>
    </row>
    <row r="17" spans="1:15" ht="15" customHeight="1">
      <c r="C17" s="48"/>
      <c r="D17" s="526"/>
      <c r="E17" s="344" t="s">
        <v>20</v>
      </c>
      <c r="F17" s="345"/>
      <c r="G17" s="346"/>
      <c r="H17" s="346"/>
      <c r="I17" s="346"/>
      <c r="J17" s="347"/>
      <c r="K17" s="390"/>
      <c r="L17" s="346"/>
      <c r="M17" s="391"/>
    </row>
    <row r="18" spans="1:15" ht="15" customHeight="1">
      <c r="B18" s="44">
        <v>243</v>
      </c>
      <c r="C18" s="48" t="str">
        <f>TEXT($B$1,"00")&amp;"."&amp;TEXT($B18,"000")&amp;"."&amp;TEXT('Campus Selector'!$G$6,"00")</f>
        <v>11.243.25</v>
      </c>
      <c r="D18" s="526"/>
      <c r="E18" s="222"/>
      <c r="F18" s="217" t="s">
        <v>22</v>
      </c>
      <c r="G18" s="218">
        <v>3.8828364128652972</v>
      </c>
      <c r="H18" s="218">
        <v>3.7131268635590051</v>
      </c>
      <c r="I18" s="219">
        <v>0.92567837596353986</v>
      </c>
      <c r="J18" s="220" t="s">
        <v>712</v>
      </c>
      <c r="K18" s="218">
        <v>3.7605851503585024</v>
      </c>
      <c r="L18" s="219">
        <v>0.6691065059396587</v>
      </c>
      <c r="M18" s="221" t="s">
        <v>712</v>
      </c>
      <c r="O18" s="62"/>
    </row>
    <row r="19" spans="1:15" ht="15" customHeight="1">
      <c r="A19" s="32" t="s">
        <v>314</v>
      </c>
      <c r="B19" s="44">
        <v>240</v>
      </c>
      <c r="C19" s="48" t="str">
        <f>TEXT($B$1,"00")&amp;"."&amp;TEXT($B19,"000")&amp;"."&amp;TEXT('Campus Selector'!$G$6,"00")</f>
        <v>11.240.25</v>
      </c>
      <c r="D19" s="526"/>
      <c r="E19" s="209"/>
      <c r="F19" s="154" t="s">
        <v>304</v>
      </c>
      <c r="G19" s="212">
        <v>3.945083432758536</v>
      </c>
      <c r="H19" s="212">
        <v>3.5860587957590702</v>
      </c>
      <c r="I19" s="214">
        <v>0.87593709155407506</v>
      </c>
      <c r="J19" s="213" t="s">
        <v>712</v>
      </c>
      <c r="K19" s="212">
        <v>3.7266078585636362</v>
      </c>
      <c r="L19" s="208">
        <v>0.83183700556374796</v>
      </c>
      <c r="M19" s="215" t="s">
        <v>712</v>
      </c>
      <c r="O19" s="62"/>
    </row>
    <row r="20" spans="1:15" ht="15" customHeight="1">
      <c r="B20" s="44">
        <v>241</v>
      </c>
      <c r="C20" s="48" t="str">
        <f>TEXT($B$1,"00")&amp;"."&amp;TEXT($B20,"000")&amp;"."&amp;TEXT('Campus Selector'!$G$6,"00")</f>
        <v>11.241.25</v>
      </c>
      <c r="D20" s="526"/>
      <c r="E20" s="222"/>
      <c r="F20" s="217" t="s">
        <v>21</v>
      </c>
      <c r="G20" s="218">
        <v>3.7255518523291982</v>
      </c>
      <c r="H20" s="218">
        <v>3.5401415059210026</v>
      </c>
      <c r="I20" s="219">
        <v>0.72289420255518377</v>
      </c>
      <c r="J20" s="220" t="s">
        <v>712</v>
      </c>
      <c r="K20" s="218">
        <v>3.7361008855105116</v>
      </c>
      <c r="L20" s="219">
        <v>-4.4525948095631665E-2</v>
      </c>
      <c r="M20" s="221" t="s">
        <v>709</v>
      </c>
      <c r="O20" s="62"/>
    </row>
    <row r="21" spans="1:15" ht="15" customHeight="1">
      <c r="A21" s="32" t="s">
        <v>314</v>
      </c>
      <c r="B21" s="44">
        <v>242</v>
      </c>
      <c r="C21" s="48" t="str">
        <f>TEXT($B$1,"00")&amp;"."&amp;TEXT($B21,"000")&amp;"."&amp;TEXT('Campus Selector'!$G$6,"00")</f>
        <v>11.242.25</v>
      </c>
      <c r="D21" s="526"/>
      <c r="E21" s="169"/>
      <c r="F21" s="335" t="s">
        <v>305</v>
      </c>
      <c r="G21" s="340">
        <v>3.735660643070176</v>
      </c>
      <c r="H21" s="340">
        <v>3.6769071243678511</v>
      </c>
      <c r="I21" s="342">
        <v>0.45740517826271254</v>
      </c>
      <c r="J21" s="341" t="s">
        <v>709</v>
      </c>
      <c r="K21" s="340">
        <v>3.7354663076593315</v>
      </c>
      <c r="L21" s="336">
        <v>1.1569664538862753E-3</v>
      </c>
      <c r="M21" s="343" t="s">
        <v>709</v>
      </c>
      <c r="O21" s="62"/>
    </row>
    <row r="22" spans="1:15" ht="7.5" customHeight="1">
      <c r="C22" s="48"/>
      <c r="D22" s="526"/>
      <c r="E22" s="154"/>
      <c r="F22" s="154"/>
      <c r="G22" s="208"/>
      <c r="H22" s="208"/>
      <c r="I22" s="208"/>
      <c r="J22" s="213"/>
      <c r="K22" s="208"/>
      <c r="L22" s="208"/>
      <c r="M22" s="213"/>
    </row>
    <row r="23" spans="1:15" ht="15" customHeight="1">
      <c r="C23" s="48"/>
      <c r="D23" s="526"/>
      <c r="E23" s="344" t="s">
        <v>23</v>
      </c>
      <c r="F23" s="345"/>
      <c r="G23" s="346"/>
      <c r="H23" s="346"/>
      <c r="I23" s="346"/>
      <c r="J23" s="347"/>
      <c r="K23" s="390"/>
      <c r="L23" s="346"/>
      <c r="M23" s="391"/>
    </row>
    <row r="24" spans="1:15" ht="15" customHeight="1">
      <c r="A24" s="32" t="s">
        <v>314</v>
      </c>
      <c r="B24" s="44">
        <v>245</v>
      </c>
      <c r="C24" s="48" t="str">
        <f>TEXT($B$1,"00")&amp;"."&amp;TEXT($B24,"000")&amp;"."&amp;TEXT('Campus Selector'!$G$6,"00")</f>
        <v>11.245.25</v>
      </c>
      <c r="D24" s="526"/>
      <c r="E24" s="222"/>
      <c r="F24" s="217" t="s">
        <v>306</v>
      </c>
      <c r="G24" s="218">
        <v>3.4358388836768219</v>
      </c>
      <c r="H24" s="218">
        <v>3.4047563899972242</v>
      </c>
      <c r="I24" s="219">
        <v>0.12506386401844094</v>
      </c>
      <c r="J24" s="220" t="s">
        <v>709</v>
      </c>
      <c r="K24" s="218">
        <v>3.6745533693223758</v>
      </c>
      <c r="L24" s="219">
        <v>-0.87006716116635585</v>
      </c>
      <c r="M24" s="221" t="s">
        <v>710</v>
      </c>
    </row>
    <row r="25" spans="1:15" ht="15" customHeight="1">
      <c r="B25" s="44">
        <v>250</v>
      </c>
      <c r="C25" s="48" t="str">
        <f>TEXT($B$1,"00")&amp;"."&amp;TEXT($B25,"000")&amp;"."&amp;TEXT('Campus Selector'!$G$6,"00")</f>
        <v>11.250.25</v>
      </c>
      <c r="D25" s="526"/>
      <c r="E25" s="209"/>
      <c r="F25" s="154" t="s">
        <v>307</v>
      </c>
      <c r="G25" s="212">
        <v>3.0106571936056836</v>
      </c>
      <c r="H25" s="212">
        <v>2.9153676233924846</v>
      </c>
      <c r="I25" s="214">
        <v>0.63500983035863168</v>
      </c>
      <c r="J25" s="213" t="s">
        <v>712</v>
      </c>
      <c r="K25" s="212">
        <v>2.928612982703672</v>
      </c>
      <c r="L25" s="208">
        <v>0.50663273427317734</v>
      </c>
      <c r="M25" s="215" t="s">
        <v>712</v>
      </c>
    </row>
    <row r="26" spans="1:15" ht="15" customHeight="1">
      <c r="B26" s="44">
        <v>251</v>
      </c>
      <c r="C26" s="48" t="str">
        <f>TEXT($B$1,"00")&amp;"."&amp;TEXT($B26,"000")&amp;"."&amp;TEXT('Campus Selector'!$G$6,"00")</f>
        <v>11.251.25</v>
      </c>
      <c r="D26" s="526"/>
      <c r="E26" s="222"/>
      <c r="F26" s="217" t="s">
        <v>308</v>
      </c>
      <c r="G26" s="218">
        <v>3.6850584391296954</v>
      </c>
      <c r="H26" s="218">
        <v>3.6975151696028665</v>
      </c>
      <c r="I26" s="219">
        <v>-5.6526807748539916E-2</v>
      </c>
      <c r="J26" s="220" t="s">
        <v>709</v>
      </c>
      <c r="K26" s="218">
        <v>3.9254763511646535</v>
      </c>
      <c r="L26" s="219">
        <v>-1.0047250672437316</v>
      </c>
      <c r="M26" s="221" t="s">
        <v>711</v>
      </c>
    </row>
    <row r="27" spans="1:15" ht="15" customHeight="1">
      <c r="B27" s="44">
        <v>252</v>
      </c>
      <c r="C27" s="48" t="str">
        <f>TEXT($B$1,"00")&amp;"."&amp;TEXT($B27,"000")&amp;"."&amp;TEXT('Campus Selector'!$G$6,"00")</f>
        <v>11.252.25</v>
      </c>
      <c r="D27" s="526"/>
      <c r="E27" s="209"/>
      <c r="F27" s="154" t="s">
        <v>309</v>
      </c>
      <c r="G27" s="212">
        <v>3.6859246920433466</v>
      </c>
      <c r="H27" s="212">
        <v>3.5226881671269599</v>
      </c>
      <c r="I27" s="214">
        <v>0.73458694979896677</v>
      </c>
      <c r="J27" s="213" t="s">
        <v>712</v>
      </c>
      <c r="K27" s="212">
        <v>3.6774679318502339</v>
      </c>
      <c r="L27" s="208">
        <v>4.5703678563321692E-2</v>
      </c>
      <c r="M27" s="215" t="s">
        <v>709</v>
      </c>
    </row>
    <row r="28" spans="1:15" ht="15" customHeight="1">
      <c r="B28" s="44">
        <v>253</v>
      </c>
      <c r="C28" s="48" t="str">
        <f>TEXT($B$1,"00")&amp;"."&amp;TEXT($B28,"000")&amp;"."&amp;TEXT('Campus Selector'!$G$6,"00")</f>
        <v>11.253.25</v>
      </c>
      <c r="D28" s="526"/>
      <c r="E28" s="222"/>
      <c r="F28" s="217" t="s">
        <v>310</v>
      </c>
      <c r="G28" s="218">
        <v>3.507527355703941</v>
      </c>
      <c r="H28" s="218">
        <v>3.6236565016335067</v>
      </c>
      <c r="I28" s="219">
        <v>-0.44207836786067889</v>
      </c>
      <c r="J28" s="220" t="s">
        <v>709</v>
      </c>
      <c r="K28" s="218">
        <v>3.8231288802996226</v>
      </c>
      <c r="L28" s="219">
        <v>-1.3191632229550139</v>
      </c>
      <c r="M28" s="221" t="s">
        <v>711</v>
      </c>
    </row>
    <row r="29" spans="1:15" ht="15" customHeight="1">
      <c r="B29" s="44">
        <v>254</v>
      </c>
      <c r="C29" s="48" t="str">
        <f>TEXT($B$1,"00")&amp;"."&amp;TEXT($B29,"000")&amp;"."&amp;TEXT('Campus Selector'!$G$6,"00")</f>
        <v>11.254.25</v>
      </c>
      <c r="D29" s="526"/>
      <c r="E29" s="209"/>
      <c r="F29" s="154" t="s">
        <v>311</v>
      </c>
      <c r="G29" s="212">
        <v>2.9568939863254369</v>
      </c>
      <c r="H29" s="212">
        <v>2.9972813839303201</v>
      </c>
      <c r="I29" s="214">
        <v>-0.14446130199275656</v>
      </c>
      <c r="J29" s="213" t="s">
        <v>709</v>
      </c>
      <c r="K29" s="212">
        <v>3.3681257802944291</v>
      </c>
      <c r="L29" s="208">
        <v>-1.3114972354001895</v>
      </c>
      <c r="M29" s="215" t="s">
        <v>711</v>
      </c>
    </row>
    <row r="30" spans="1:15" ht="15" customHeight="1">
      <c r="B30" s="44">
        <v>255</v>
      </c>
      <c r="C30" s="48" t="str">
        <f>TEXT($B$1,"00")&amp;"."&amp;TEXT($B30,"000")&amp;"."&amp;TEXT('Campus Selector'!$G$6,"00")</f>
        <v>11.255.25</v>
      </c>
      <c r="D30" s="526"/>
      <c r="E30" s="222"/>
      <c r="F30" s="217" t="s">
        <v>312</v>
      </c>
      <c r="G30" s="218">
        <v>3.3037200788885106</v>
      </c>
      <c r="H30" s="218">
        <v>3.1444963930894696</v>
      </c>
      <c r="I30" s="219">
        <v>0.86830491177082936</v>
      </c>
      <c r="J30" s="220" t="s">
        <v>712</v>
      </c>
      <c r="K30" s="218">
        <v>3.2859744740654326</v>
      </c>
      <c r="L30" s="219">
        <v>8.4050176253710474E-2</v>
      </c>
      <c r="M30" s="221" t="s">
        <v>709</v>
      </c>
    </row>
    <row r="31" spans="1:15" ht="15" customHeight="1">
      <c r="B31" s="44">
        <v>256</v>
      </c>
      <c r="C31" s="48" t="str">
        <f>TEXT($B$1,"00")&amp;"."&amp;TEXT($B31,"000")&amp;"."&amp;TEXT('Campus Selector'!$G$6,"00")</f>
        <v>11.256.25</v>
      </c>
      <c r="D31" s="526"/>
      <c r="E31" s="209"/>
      <c r="F31" s="154" t="s">
        <v>313</v>
      </c>
      <c r="G31" s="212">
        <v>3.3184793933319168</v>
      </c>
      <c r="H31" s="212">
        <v>3.1713487831617164</v>
      </c>
      <c r="I31" s="214">
        <v>0.4460985703928349</v>
      </c>
      <c r="J31" s="213" t="s">
        <v>709</v>
      </c>
      <c r="K31" s="212">
        <v>3.3214106524073106</v>
      </c>
      <c r="L31" s="208">
        <v>-1.0854206185506136E-2</v>
      </c>
      <c r="M31" s="215" t="s">
        <v>709</v>
      </c>
    </row>
    <row r="32" spans="1:15" ht="15" customHeight="1">
      <c r="B32" s="44">
        <v>247</v>
      </c>
      <c r="C32" s="48" t="str">
        <f>TEXT($B$1,"00")&amp;"."&amp;TEXT($B32,"000")&amp;"."&amp;TEXT('Campus Selector'!$G$6,"00")</f>
        <v>11.247.25</v>
      </c>
      <c r="D32" s="526"/>
      <c r="E32" s="349"/>
      <c r="F32" s="350" t="s">
        <v>24</v>
      </c>
      <c r="G32" s="351">
        <v>3.6537753222836096</v>
      </c>
      <c r="H32" s="351">
        <v>3.7006298711121568</v>
      </c>
      <c r="I32" s="352">
        <v>-0.30394297768207873</v>
      </c>
      <c r="J32" s="353" t="s">
        <v>709</v>
      </c>
      <c r="K32" s="351">
        <v>3.9353270471526609</v>
      </c>
      <c r="L32" s="352">
        <v>-1.02079616912834</v>
      </c>
      <c r="M32" s="354" t="s">
        <v>711</v>
      </c>
    </row>
    <row r="33" spans="2:14" ht="6.95" customHeight="1">
      <c r="C33" s="32"/>
      <c r="D33" s="527"/>
      <c r="E33" s="827"/>
      <c r="F33" s="827"/>
      <c r="G33" s="827"/>
      <c r="H33" s="827"/>
      <c r="I33" s="827"/>
      <c r="J33" s="827"/>
      <c r="K33" s="494"/>
      <c r="L33" s="494"/>
      <c r="M33" s="118"/>
      <c r="N33" s="118"/>
    </row>
    <row r="34" spans="2:14" ht="15" customHeight="1">
      <c r="B34" s="47"/>
      <c r="C34" s="48"/>
      <c r="D34" s="526"/>
      <c r="E34" s="866" t="s">
        <v>513</v>
      </c>
      <c r="F34" s="866"/>
      <c r="G34" s="866"/>
      <c r="H34" s="866"/>
      <c r="I34" s="866"/>
      <c r="J34" s="866"/>
      <c r="K34" s="866"/>
      <c r="L34" s="866"/>
      <c r="M34" s="866"/>
    </row>
    <row r="35" spans="2:14" ht="15" customHeight="1">
      <c r="C35" s="32"/>
      <c r="D35" s="526"/>
      <c r="E35" s="866"/>
      <c r="F35" s="866"/>
      <c r="G35" s="866"/>
      <c r="H35" s="866"/>
      <c r="I35" s="866"/>
      <c r="J35" s="866"/>
      <c r="K35" s="866"/>
      <c r="L35" s="866"/>
      <c r="M35" s="866"/>
    </row>
    <row r="36" spans="2:14" ht="7.5" customHeight="1">
      <c r="C36" s="32"/>
      <c r="D36" s="526"/>
    </row>
    <row r="37" spans="2:14" ht="15" customHeight="1">
      <c r="D37" s="526"/>
      <c r="E37" s="121" t="s">
        <v>260</v>
      </c>
      <c r="F37" s="55"/>
      <c r="G37" s="56"/>
      <c r="H37" s="57"/>
      <c r="I37" s="58"/>
      <c r="J37" s="58"/>
      <c r="K37" s="58"/>
      <c r="L37" s="58"/>
      <c r="M37" s="58"/>
    </row>
    <row r="38" spans="2:14" ht="15" customHeight="1">
      <c r="D38" s="526"/>
      <c r="E38" s="814"/>
      <c r="F38" s="814"/>
      <c r="G38" s="814"/>
      <c r="H38" s="814"/>
      <c r="I38" s="814"/>
      <c r="J38" s="814"/>
      <c r="K38" s="814"/>
      <c r="L38" s="384"/>
      <c r="M38" s="384"/>
    </row>
    <row r="39" spans="2:14" ht="15" customHeight="1">
      <c r="D39" s="526"/>
      <c r="E39" s="814"/>
      <c r="F39" s="814"/>
      <c r="G39" s="814"/>
      <c r="H39" s="814"/>
      <c r="I39" s="814"/>
      <c r="J39" s="814"/>
      <c r="K39" s="814"/>
      <c r="L39" s="384"/>
      <c r="M39" s="384"/>
    </row>
    <row r="40" spans="2:14" ht="15" customHeight="1">
      <c r="D40" s="526"/>
    </row>
    <row r="41" spans="2:14" ht="15" customHeight="1">
      <c r="D41" s="526"/>
    </row>
    <row r="42" spans="2:14" ht="15" customHeight="1">
      <c r="D42" s="526"/>
    </row>
    <row r="43" spans="2:14" ht="15" customHeight="1">
      <c r="D43" s="527"/>
    </row>
    <row r="44" spans="2:14" ht="15" customHeight="1">
      <c r="D44" s="527"/>
    </row>
    <row r="45" spans="2:14" ht="15" customHeight="1">
      <c r="D45" s="526"/>
    </row>
    <row r="46" spans="2:14" ht="15" customHeight="1">
      <c r="D46" s="526"/>
    </row>
    <row r="47" spans="2:14" ht="15" customHeight="1">
      <c r="D47" s="526"/>
    </row>
    <row r="48" spans="2:14" ht="15" customHeight="1">
      <c r="D48" s="526"/>
    </row>
    <row r="49" spans="4:4" ht="15" customHeight="1">
      <c r="D49" s="526"/>
    </row>
    <row r="50" spans="4:4" ht="15" customHeight="1">
      <c r="D50" s="526"/>
    </row>
  </sheetData>
  <mergeCells count="9">
    <mergeCell ref="P5:T5"/>
    <mergeCell ref="E38:K39"/>
    <mergeCell ref="I7:J7"/>
    <mergeCell ref="E4:M4"/>
    <mergeCell ref="E5:M5"/>
    <mergeCell ref="E33:J33"/>
    <mergeCell ref="L7:M7"/>
    <mergeCell ref="E8:F8"/>
    <mergeCell ref="E34:M35"/>
  </mergeCells>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38"/>
  <sheetViews>
    <sheetView showGridLines="0" workbookViewId="0"/>
  </sheetViews>
  <sheetFormatPr defaultRowHeight="12.75"/>
  <cols>
    <col min="17" max="17" width="3.7109375" customWidth="1"/>
  </cols>
  <sheetData>
    <row r="2" ht="7.5" customHeight="1"/>
    <row r="38" ht="6.75" customHeight="1"/>
  </sheetData>
  <printOptions horizontalCentered="1"/>
  <pageMargins left="0.25" right="0.25" top="0.75" bottom="0.75" header="0.3" footer="0.3"/>
  <pageSetup scale="9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A1:T54"/>
  <sheetViews>
    <sheetView showGridLines="0" topLeftCell="D3" zoomScaleNormal="100" workbookViewId="0">
      <selection activeCell="O7" sqref="O7"/>
    </sheetView>
  </sheetViews>
  <sheetFormatPr defaultColWidth="9.140625" defaultRowHeight="15" customHeight="1"/>
  <cols>
    <col min="1" max="1" width="9.140625" style="32" hidden="1" customWidth="1"/>
    <col min="2" max="2" width="4.7109375" style="44" hidden="1" customWidth="1"/>
    <col min="3" max="3" width="12.28515625" style="44" hidden="1" customWidth="1"/>
    <col min="4" max="4" width="10" style="50" customWidth="1"/>
    <col min="5" max="5" width="1.28515625" style="1" customWidth="1"/>
    <col min="6" max="6" width="36.5703125" style="1" customWidth="1"/>
    <col min="7" max="13" width="10.85546875" style="1" customWidth="1"/>
    <col min="14" max="16384" width="9.140625" style="1"/>
  </cols>
  <sheetData>
    <row r="1" spans="1:20" s="32" customFormat="1" ht="15" hidden="1" customHeight="1">
      <c r="A1" s="32" t="s">
        <v>254</v>
      </c>
      <c r="B1" s="44">
        <v>11</v>
      </c>
      <c r="C1" s="44"/>
      <c r="J1" s="32">
        <v>16</v>
      </c>
      <c r="K1" s="32">
        <f t="shared" ref="K1:M1" si="0">+J1+1</f>
        <v>17</v>
      </c>
      <c r="L1" s="32">
        <f t="shared" si="0"/>
        <v>18</v>
      </c>
      <c r="M1" s="32">
        <f t="shared" si="0"/>
        <v>19</v>
      </c>
      <c r="N1" s="32" t="e">
        <f>+#REF!+1</f>
        <v>#REF!</v>
      </c>
    </row>
    <row r="2" spans="1:20" s="32" customFormat="1" ht="15" hidden="1" customHeight="1">
      <c r="B2" s="44"/>
      <c r="C2" s="44"/>
      <c r="G2" s="32">
        <v>17</v>
      </c>
      <c r="H2" s="32">
        <v>22</v>
      </c>
      <c r="I2" s="32">
        <v>23</v>
      </c>
      <c r="L2" s="32">
        <v>18</v>
      </c>
      <c r="M2" s="32">
        <v>19</v>
      </c>
    </row>
    <row r="4" spans="1:20" ht="15" customHeight="1">
      <c r="E4" s="815" t="str">
        <f>"Attachment 2: Data Summary and Detail Tables - "&amp;'Campus Selector'!$G$3</f>
        <v>Attachment 2: Data Summary and Detail Tables - Canton</v>
      </c>
      <c r="F4" s="815"/>
      <c r="G4" s="815"/>
      <c r="H4" s="815"/>
      <c r="I4" s="815"/>
      <c r="J4" s="815"/>
      <c r="K4" s="815"/>
      <c r="L4" s="815"/>
      <c r="M4" s="815"/>
    </row>
    <row r="5" spans="1:20" ht="15" customHeight="1">
      <c r="E5" s="815" t="s">
        <v>403</v>
      </c>
      <c r="F5" s="815"/>
      <c r="G5" s="815"/>
      <c r="H5" s="815"/>
      <c r="I5" s="815"/>
      <c r="J5" s="815"/>
      <c r="K5" s="815"/>
      <c r="L5" s="815"/>
      <c r="M5" s="815"/>
      <c r="P5" s="813"/>
      <c r="Q5" s="813"/>
      <c r="R5" s="813"/>
      <c r="S5" s="813"/>
      <c r="T5" s="813"/>
    </row>
    <row r="6" spans="1:20" ht="15" customHeight="1">
      <c r="E6" s="870"/>
      <c r="F6" s="870"/>
      <c r="G6" s="870"/>
      <c r="H6" s="870"/>
      <c r="I6" s="870"/>
      <c r="J6" s="870"/>
      <c r="K6" s="870"/>
      <c r="L6" s="870"/>
      <c r="M6" s="870"/>
    </row>
    <row r="7" spans="1:20" ht="28.5" customHeight="1">
      <c r="C7" s="32"/>
      <c r="D7" s="526"/>
      <c r="E7" s="867" t="s">
        <v>472</v>
      </c>
      <c r="F7" s="868"/>
      <c r="G7" s="868"/>
      <c r="H7" s="270"/>
      <c r="I7" s="63"/>
      <c r="J7" s="333">
        <v>2003</v>
      </c>
      <c r="K7" s="334">
        <v>2006</v>
      </c>
      <c r="L7" s="334">
        <v>2009</v>
      </c>
      <c r="M7" s="334">
        <v>2012</v>
      </c>
    </row>
    <row r="8" spans="1:20" ht="15" customHeight="1">
      <c r="A8" s="32" t="s">
        <v>514</v>
      </c>
      <c r="C8" s="48"/>
      <c r="D8" s="526"/>
      <c r="E8" s="344" t="s">
        <v>405</v>
      </c>
      <c r="F8" s="356"/>
      <c r="G8" s="357"/>
      <c r="H8" s="357"/>
      <c r="I8" s="357"/>
      <c r="J8" s="357"/>
      <c r="K8" s="357"/>
      <c r="L8" s="357"/>
      <c r="M8" s="691"/>
    </row>
    <row r="9" spans="1:20" ht="15" customHeight="1">
      <c r="A9" s="32" t="s">
        <v>515</v>
      </c>
      <c r="B9" s="44">
        <v>289</v>
      </c>
      <c r="C9" s="48" t="str">
        <f>TEXT($B$1,"00")&amp;"."&amp;TEXT($B9,"000")&amp;"."&amp;TEXT('Campus Selector'!$G$6,"00")</f>
        <v>11.289.25</v>
      </c>
      <c r="D9" s="526"/>
      <c r="E9" s="222"/>
      <c r="F9" s="217" t="s">
        <v>539</v>
      </c>
      <c r="G9" s="219"/>
      <c r="H9" s="219"/>
      <c r="I9" s="219"/>
      <c r="J9" s="662">
        <v>3.6788124156545208</v>
      </c>
      <c r="K9" s="662">
        <v>3.5764705882352943</v>
      </c>
      <c r="L9" s="662">
        <v>3.6777777777777776</v>
      </c>
      <c r="M9" s="693">
        <v>3.6077738515901059</v>
      </c>
    </row>
    <row r="10" spans="1:20" ht="15" customHeight="1">
      <c r="A10" s="32" t="s">
        <v>516</v>
      </c>
      <c r="B10" s="44">
        <v>288</v>
      </c>
      <c r="C10" s="48" t="str">
        <f>TEXT($B$1,"00")&amp;"."&amp;TEXT($B10,"000")&amp;"."&amp;TEXT('Campus Selector'!$G$6,"00")</f>
        <v>11.288.25</v>
      </c>
      <c r="D10" s="526"/>
      <c r="E10" s="209"/>
      <c r="F10" s="154" t="s">
        <v>540</v>
      </c>
      <c r="G10" s="208"/>
      <c r="H10" s="208"/>
      <c r="I10" s="208"/>
      <c r="J10" s="663">
        <v>3.5441176470588234</v>
      </c>
      <c r="K10" s="663">
        <v>3.463743676222597</v>
      </c>
      <c r="L10" s="663">
        <v>3.5130434782608697</v>
      </c>
      <c r="M10" s="692">
        <v>3.3836805555555554</v>
      </c>
    </row>
    <row r="11" spans="1:20" ht="15" customHeight="1">
      <c r="A11" s="32" t="s">
        <v>517</v>
      </c>
      <c r="B11" s="44">
        <v>287</v>
      </c>
      <c r="C11" s="48" t="str">
        <f>TEXT($B$1,"00")&amp;"."&amp;TEXT($B11,"000")&amp;"."&amp;TEXT('Campus Selector'!$G$6,"00")</f>
        <v>11.287.25</v>
      </c>
      <c r="D11" s="526"/>
      <c r="E11" s="222"/>
      <c r="F11" s="217" t="s">
        <v>541</v>
      </c>
      <c r="G11" s="219"/>
      <c r="H11" s="219"/>
      <c r="I11" s="219"/>
      <c r="J11" s="662">
        <v>3.6711229946524062</v>
      </c>
      <c r="K11" s="662">
        <v>3.563758389261745</v>
      </c>
      <c r="L11" s="662">
        <v>3.6399132321041217</v>
      </c>
      <c r="M11" s="693">
        <v>3.5555555555555554</v>
      </c>
    </row>
    <row r="12" spans="1:20" ht="15" customHeight="1">
      <c r="A12" s="32" t="s">
        <v>564</v>
      </c>
      <c r="B12" s="44">
        <v>290</v>
      </c>
      <c r="C12" s="48" t="str">
        <f>TEXT($B$1,"00")&amp;"."&amp;TEXT($B12,"000")&amp;"."&amp;TEXT('Campus Selector'!$G$6,"00")</f>
        <v>11.290.25</v>
      </c>
      <c r="D12" s="526"/>
      <c r="E12" s="210"/>
      <c r="F12" s="154" t="s">
        <v>563</v>
      </c>
      <c r="G12" s="208"/>
      <c r="H12" s="208"/>
      <c r="I12" s="208"/>
      <c r="J12" s="663">
        <v>3.0652173913043477</v>
      </c>
      <c r="K12" s="663">
        <v>2.8154362416107381</v>
      </c>
      <c r="L12" s="663">
        <v>2.9437229437229435</v>
      </c>
      <c r="M12" s="692">
        <v>2.9930191972076789</v>
      </c>
    </row>
    <row r="13" spans="1:20" ht="15" customHeight="1">
      <c r="A13" s="32" t="s">
        <v>518</v>
      </c>
      <c r="B13" s="44">
        <v>291</v>
      </c>
      <c r="C13" s="48" t="str">
        <f>TEXT($B$1,"00")&amp;"."&amp;TEXT($B13,"000")&amp;"."&amp;TEXT('Campus Selector'!$G$6,"00")</f>
        <v>11.291.25</v>
      </c>
      <c r="D13" s="526"/>
      <c r="E13" s="223"/>
      <c r="F13" s="217" t="s">
        <v>542</v>
      </c>
      <c r="G13" s="219"/>
      <c r="H13" s="219"/>
      <c r="I13" s="219"/>
      <c r="J13" s="662">
        <v>3.5609756097560976</v>
      </c>
      <c r="K13" s="662">
        <v>3.5094017094017094</v>
      </c>
      <c r="L13" s="662">
        <v>3.5416666666666665</v>
      </c>
      <c r="M13" s="693">
        <v>3.5648312611012432</v>
      </c>
    </row>
    <row r="14" spans="1:20" ht="15" customHeight="1">
      <c r="A14" s="32" t="s">
        <v>519</v>
      </c>
      <c r="B14" s="44">
        <v>292</v>
      </c>
      <c r="C14" s="48" t="str">
        <f>TEXT($B$1,"00")&amp;"."&amp;TEXT($B14,"000")&amp;"."&amp;TEXT('Campus Selector'!$G$6,"00")</f>
        <v>11.292.25</v>
      </c>
      <c r="D14" s="526"/>
      <c r="E14" s="210"/>
      <c r="F14" s="154" t="s">
        <v>543</v>
      </c>
      <c r="G14" s="208"/>
      <c r="H14" s="208"/>
      <c r="I14" s="208"/>
      <c r="J14" s="663">
        <v>3.3527027027027025</v>
      </c>
      <c r="K14" s="663">
        <v>3.3231810490693738</v>
      </c>
      <c r="L14" s="663">
        <v>3.3947368421052633</v>
      </c>
      <c r="M14" s="692">
        <v>3.2959001782531194</v>
      </c>
    </row>
    <row r="15" spans="1:20" ht="15" customHeight="1">
      <c r="A15" s="32" t="s">
        <v>520</v>
      </c>
      <c r="B15" s="44">
        <v>293</v>
      </c>
      <c r="C15" s="48" t="str">
        <f>TEXT($B$1,"00")&amp;"."&amp;TEXT($B15,"000")&amp;"."&amp;TEXT('Campus Selector'!$G$6,"00")</f>
        <v>11.293.25</v>
      </c>
      <c r="D15" s="526"/>
      <c r="E15" s="223"/>
      <c r="F15" s="217" t="s">
        <v>544</v>
      </c>
      <c r="G15" s="219"/>
      <c r="H15" s="219"/>
      <c r="I15" s="219"/>
      <c r="J15" s="662" t="s">
        <v>187</v>
      </c>
      <c r="K15" s="662" t="s">
        <v>187</v>
      </c>
      <c r="L15" s="662">
        <v>2.964835164835165</v>
      </c>
      <c r="M15" s="693">
        <v>2.9432624113475176</v>
      </c>
    </row>
    <row r="16" spans="1:20" ht="15" customHeight="1">
      <c r="A16" s="32" t="s">
        <v>521</v>
      </c>
      <c r="B16" s="44">
        <v>286</v>
      </c>
      <c r="C16" s="48" t="str">
        <f>TEXT($B$1,"00")&amp;"."&amp;TEXT($B16,"000")&amp;"."&amp;TEXT('Campus Selector'!$G$6,"00")</f>
        <v>11.286.25</v>
      </c>
      <c r="D16" s="526"/>
      <c r="E16" s="209"/>
      <c r="F16" s="154" t="s">
        <v>545</v>
      </c>
      <c r="G16" s="208"/>
      <c r="H16" s="208"/>
      <c r="I16" s="208"/>
      <c r="J16" s="663">
        <v>3.6244952893674292</v>
      </c>
      <c r="K16" s="663">
        <v>3.6866438356164384</v>
      </c>
      <c r="L16" s="663">
        <v>3.8201754385964914</v>
      </c>
      <c r="M16" s="692">
        <v>3.6525573192239857</v>
      </c>
    </row>
    <row r="17" spans="1:13" ht="15" customHeight="1">
      <c r="A17" s="32" t="s">
        <v>522</v>
      </c>
      <c r="B17" s="44">
        <v>304</v>
      </c>
      <c r="C17" s="48" t="str">
        <f>TEXT($B$1,"00")&amp;"."&amp;TEXT($B17,"000")&amp;"."&amp;TEXT('Campus Selector'!$G$6,"00")</f>
        <v>11.304.25</v>
      </c>
      <c r="D17" s="526"/>
      <c r="E17" s="355"/>
      <c r="F17" s="350" t="s">
        <v>546</v>
      </c>
      <c r="G17" s="352"/>
      <c r="H17" s="352"/>
      <c r="I17" s="352"/>
      <c r="J17" s="664">
        <v>2.9274193548387095</v>
      </c>
      <c r="K17" s="664">
        <v>3.0567986230636834</v>
      </c>
      <c r="L17" s="664">
        <v>3.1252747252747253</v>
      </c>
      <c r="M17" s="695">
        <v>3.0070298769771528</v>
      </c>
    </row>
    <row r="18" spans="1:13" ht="7.5" customHeight="1">
      <c r="C18" s="48"/>
      <c r="D18" s="526"/>
      <c r="E18" s="154"/>
      <c r="F18" s="154"/>
      <c r="G18" s="208"/>
      <c r="H18" s="208"/>
      <c r="I18" s="208"/>
      <c r="J18" s="208"/>
      <c r="K18" s="208"/>
      <c r="L18" s="208"/>
      <c r="M18" s="214"/>
    </row>
    <row r="19" spans="1:13" ht="15" customHeight="1">
      <c r="C19" s="48"/>
      <c r="D19" s="526"/>
      <c r="E19" s="344" t="s">
        <v>406</v>
      </c>
      <c r="F19" s="356"/>
      <c r="G19" s="357"/>
      <c r="H19" s="357"/>
      <c r="I19" s="357"/>
      <c r="J19" s="357"/>
      <c r="K19" s="357"/>
      <c r="L19" s="357"/>
      <c r="M19" s="691"/>
    </row>
    <row r="20" spans="1:13" ht="15" customHeight="1">
      <c r="A20" s="32" t="s">
        <v>523</v>
      </c>
      <c r="B20" s="44">
        <v>276</v>
      </c>
      <c r="C20" s="48" t="str">
        <f>TEXT($B$1,"00")&amp;"."&amp;TEXT($B20,"000")&amp;"."&amp;TEXT('Campus Selector'!$G$6,"00")</f>
        <v>11.276.25</v>
      </c>
      <c r="D20" s="526"/>
      <c r="E20" s="222"/>
      <c r="F20" s="217" t="s">
        <v>547</v>
      </c>
      <c r="G20" s="219"/>
      <c r="H20" s="219"/>
      <c r="I20" s="219"/>
      <c r="J20" s="662">
        <v>3.9153005464480874</v>
      </c>
      <c r="K20" s="662">
        <v>3.7745974955277282</v>
      </c>
      <c r="L20" s="662">
        <v>3.8603603603603602</v>
      </c>
      <c r="M20" s="693">
        <v>3.7481203007518795</v>
      </c>
    </row>
    <row r="21" spans="1:13" ht="15" customHeight="1">
      <c r="A21" s="32" t="s">
        <v>524</v>
      </c>
      <c r="B21" s="44">
        <v>277</v>
      </c>
      <c r="C21" s="48" t="str">
        <f>TEXT($B$1,"00")&amp;"."&amp;TEXT($B21,"000")&amp;"."&amp;TEXT('Campus Selector'!$G$6,"00")</f>
        <v>11.277.25</v>
      </c>
      <c r="D21" s="526"/>
      <c r="E21" s="209"/>
      <c r="F21" s="154" t="s">
        <v>548</v>
      </c>
      <c r="G21" s="208"/>
      <c r="H21" s="208"/>
      <c r="I21" s="208"/>
      <c r="J21" s="663">
        <v>3.6584158415841586</v>
      </c>
      <c r="K21" s="663">
        <v>3.5979166666666669</v>
      </c>
      <c r="L21" s="663">
        <v>3.7010050251256281</v>
      </c>
      <c r="M21" s="692">
        <v>3.8072805139186294</v>
      </c>
    </row>
    <row r="22" spans="1:13" ht="15" customHeight="1">
      <c r="A22" s="32" t="s">
        <v>525</v>
      </c>
      <c r="B22" s="44">
        <v>279</v>
      </c>
      <c r="C22" s="48" t="str">
        <f>TEXT($B$1,"00")&amp;"."&amp;TEXT($B22,"000")&amp;"."&amp;TEXT('Campus Selector'!$G$6,"00")</f>
        <v>11.279.25</v>
      </c>
      <c r="D22" s="526"/>
      <c r="E22" s="222"/>
      <c r="F22" s="217" t="s">
        <v>549</v>
      </c>
      <c r="G22" s="219"/>
      <c r="H22" s="219"/>
      <c r="I22" s="219"/>
      <c r="J22" s="662">
        <v>3.6728045325779037</v>
      </c>
      <c r="K22" s="662">
        <v>3.6846011131725418</v>
      </c>
      <c r="L22" s="662">
        <v>3.7723970944309926</v>
      </c>
      <c r="M22" s="693">
        <v>3.8273809523809526</v>
      </c>
    </row>
    <row r="23" spans="1:13" ht="15" customHeight="1">
      <c r="A23" s="32" t="s">
        <v>526</v>
      </c>
      <c r="B23" s="44">
        <v>278</v>
      </c>
      <c r="C23" s="48" t="str">
        <f>TEXT($B$1,"00")&amp;"."&amp;TEXT($B23,"000")&amp;"."&amp;TEXT('Campus Selector'!$G$6,"00")</f>
        <v>11.278.25</v>
      </c>
      <c r="D23" s="526"/>
      <c r="E23" s="209"/>
      <c r="F23" s="154" t="s">
        <v>550</v>
      </c>
      <c r="G23" s="208"/>
      <c r="H23" s="208"/>
      <c r="I23" s="208"/>
      <c r="J23" s="663">
        <v>4.2230014025245444</v>
      </c>
      <c r="K23" s="663">
        <v>3.9183673469387754</v>
      </c>
      <c r="L23" s="663">
        <v>3.8222222222222224</v>
      </c>
      <c r="M23" s="692">
        <v>4.1758893280632412</v>
      </c>
    </row>
    <row r="24" spans="1:13" ht="15" customHeight="1">
      <c r="A24" s="32" t="s">
        <v>527</v>
      </c>
      <c r="B24" s="44">
        <v>280</v>
      </c>
      <c r="C24" s="48" t="str">
        <f>TEXT($B$1,"00")&amp;"."&amp;TEXT($B24,"000")&amp;"."&amp;TEXT('Campus Selector'!$G$6,"00")</f>
        <v>11.280.25</v>
      </c>
      <c r="D24" s="526"/>
      <c r="E24" s="222"/>
      <c r="F24" s="217" t="s">
        <v>551</v>
      </c>
      <c r="G24" s="219"/>
      <c r="H24" s="219"/>
      <c r="I24" s="219"/>
      <c r="J24" s="662">
        <v>4.0083333333333337</v>
      </c>
      <c r="K24" s="662">
        <v>3.9519572953736657</v>
      </c>
      <c r="L24" s="662">
        <v>4.0226757369614514</v>
      </c>
      <c r="M24" s="693">
        <v>4.1142322097378274</v>
      </c>
    </row>
    <row r="25" spans="1:13" ht="15" customHeight="1">
      <c r="A25" s="32" t="s">
        <v>528</v>
      </c>
      <c r="B25" s="44">
        <v>281</v>
      </c>
      <c r="C25" s="48" t="str">
        <f>TEXT($B$1,"00")&amp;"."&amp;TEXT($B25,"000")&amp;"."&amp;TEXT('Campus Selector'!$G$6,"00")</f>
        <v>11.281.25</v>
      </c>
      <c r="D25" s="526"/>
      <c r="E25" s="209"/>
      <c r="F25" s="154" t="s">
        <v>552</v>
      </c>
      <c r="G25" s="208"/>
      <c r="H25" s="208"/>
      <c r="I25" s="208"/>
      <c r="J25" s="663">
        <v>3.2558459422283357</v>
      </c>
      <c r="K25" s="663">
        <v>3.5907473309608542</v>
      </c>
      <c r="L25" s="663">
        <v>3.7314814814814814</v>
      </c>
      <c r="M25" s="692">
        <v>3.8216318785578749</v>
      </c>
    </row>
    <row r="26" spans="1:13" ht="15" customHeight="1">
      <c r="A26" s="32" t="s">
        <v>529</v>
      </c>
      <c r="B26" s="44">
        <v>294</v>
      </c>
      <c r="C26" s="48" t="str">
        <f>TEXT($B$1,"00")&amp;"."&amp;TEXT($B26,"000")&amp;"."&amp;TEXT('Campus Selector'!$G$6,"00")</f>
        <v>11.294.25</v>
      </c>
      <c r="D26" s="526"/>
      <c r="E26" s="223"/>
      <c r="F26" s="217" t="s">
        <v>553</v>
      </c>
      <c r="G26" s="219"/>
      <c r="H26" s="219"/>
      <c r="I26" s="219"/>
      <c r="J26" s="662">
        <v>3.5805555555555557</v>
      </c>
      <c r="K26" s="662">
        <v>3.59375</v>
      </c>
      <c r="L26" s="662">
        <v>3.6244019138755981</v>
      </c>
      <c r="M26" s="693">
        <v>3.6593625498007967</v>
      </c>
    </row>
    <row r="27" spans="1:13" ht="15" customHeight="1">
      <c r="A27" s="32" t="s">
        <v>530</v>
      </c>
      <c r="B27" s="44">
        <v>295</v>
      </c>
      <c r="C27" s="48" t="str">
        <f>TEXT($B$1,"00")&amp;"."&amp;TEXT($B27,"000")&amp;"."&amp;TEXT('Campus Selector'!$G$6,"00")</f>
        <v>11.295.25</v>
      </c>
      <c r="D27" s="526"/>
      <c r="E27" s="210"/>
      <c r="F27" s="154" t="s">
        <v>554</v>
      </c>
      <c r="G27" s="208"/>
      <c r="H27" s="208"/>
      <c r="I27" s="208"/>
      <c r="J27" s="663">
        <v>2.9514285714285715</v>
      </c>
      <c r="K27" s="663">
        <v>3.0971223021582732</v>
      </c>
      <c r="L27" s="663">
        <v>3.3411764705882354</v>
      </c>
      <c r="M27" s="692">
        <v>3.2819672131147541</v>
      </c>
    </row>
    <row r="28" spans="1:13" ht="15" customHeight="1">
      <c r="A28" s="32" t="s">
        <v>531</v>
      </c>
      <c r="B28" s="44">
        <v>282</v>
      </c>
      <c r="C28" s="48" t="str">
        <f>TEXT($B$1,"00")&amp;"."&amp;TEXT($B28,"000")&amp;"."&amp;TEXT('Campus Selector'!$G$6,"00")</f>
        <v>11.282.25</v>
      </c>
      <c r="D28" s="526"/>
      <c r="E28" s="349"/>
      <c r="F28" s="350" t="s">
        <v>555</v>
      </c>
      <c r="G28" s="352"/>
      <c r="H28" s="352"/>
      <c r="I28" s="352"/>
      <c r="J28" s="664">
        <v>3.6460296096904443</v>
      </c>
      <c r="K28" s="664">
        <v>3.5538461538461537</v>
      </c>
      <c r="L28" s="664">
        <v>3.4144144144144146</v>
      </c>
      <c r="M28" s="695">
        <v>3.5490909090909093</v>
      </c>
    </row>
    <row r="29" spans="1:13" ht="7.5" customHeight="1">
      <c r="C29" s="48"/>
      <c r="D29" s="526"/>
      <c r="E29" s="154"/>
      <c r="F29" s="154"/>
      <c r="G29" s="208"/>
      <c r="H29" s="208"/>
      <c r="I29" s="208"/>
      <c r="J29" s="208"/>
      <c r="K29" s="208"/>
      <c r="L29" s="208"/>
      <c r="M29" s="214"/>
    </row>
    <row r="30" spans="1:13" ht="15" customHeight="1">
      <c r="C30" s="48"/>
      <c r="D30" s="526"/>
      <c r="E30" s="344" t="s">
        <v>407</v>
      </c>
      <c r="F30" s="356"/>
      <c r="G30" s="357"/>
      <c r="H30" s="357"/>
      <c r="I30" s="357"/>
      <c r="J30" s="357"/>
      <c r="K30" s="357"/>
      <c r="L30" s="357"/>
      <c r="M30" s="691"/>
    </row>
    <row r="31" spans="1:13" ht="15" customHeight="1">
      <c r="A31" s="32" t="s">
        <v>532</v>
      </c>
      <c r="B31" s="44">
        <v>285</v>
      </c>
      <c r="C31" s="48" t="str">
        <f>TEXT($B$1,"00")&amp;"."&amp;TEXT($B31,"000")&amp;"."&amp;TEXT('Campus Selector'!$G$6,"00")</f>
        <v>11.285.25</v>
      </c>
      <c r="D31" s="526"/>
      <c r="E31" s="209"/>
      <c r="F31" s="154" t="s">
        <v>556</v>
      </c>
      <c r="G31" s="208"/>
      <c r="H31" s="208"/>
      <c r="I31" s="208"/>
      <c r="J31" s="663">
        <v>3.5792349726775958</v>
      </c>
      <c r="K31" s="663">
        <v>3.5195911413969334</v>
      </c>
      <c r="L31" s="663">
        <v>3.445916114790287</v>
      </c>
      <c r="M31" s="692">
        <v>3.5197132616487457</v>
      </c>
    </row>
    <row r="32" spans="1:13" ht="15" customHeight="1">
      <c r="A32" s="32" t="s">
        <v>533</v>
      </c>
      <c r="B32" s="44">
        <v>284</v>
      </c>
      <c r="C32" s="48" t="str">
        <f>TEXT($B$1,"00")&amp;"."&amp;TEXT($B32,"000")&amp;"."&amp;TEXT('Campus Selector'!$G$6,"00")</f>
        <v>11.284.25</v>
      </c>
      <c r="D32" s="526"/>
      <c r="E32" s="222"/>
      <c r="F32" s="217" t="s">
        <v>557</v>
      </c>
      <c r="G32" s="219"/>
      <c r="H32" s="219"/>
      <c r="I32" s="219"/>
      <c r="J32" s="662">
        <v>3.8238482384823849</v>
      </c>
      <c r="K32" s="662">
        <v>3.8609715242881073</v>
      </c>
      <c r="L32" s="662">
        <v>3.8227571115973742</v>
      </c>
      <c r="M32" s="693">
        <v>3.859154929577465</v>
      </c>
    </row>
    <row r="33" spans="1:14" ht="15" customHeight="1">
      <c r="A33" s="32" t="s">
        <v>534</v>
      </c>
      <c r="B33" s="44">
        <v>296</v>
      </c>
      <c r="C33" s="48" t="str">
        <f>TEXT($B$1,"00")&amp;"."&amp;TEXT($B33,"000")&amp;"."&amp;TEXT('Campus Selector'!$G$6,"00")</f>
        <v>11.296.25</v>
      </c>
      <c r="D33" s="526"/>
      <c r="E33" s="210"/>
      <c r="F33" s="154" t="s">
        <v>558</v>
      </c>
      <c r="G33" s="208"/>
      <c r="H33" s="208"/>
      <c r="I33" s="208"/>
      <c r="J33" s="663">
        <v>3.7535014005602241</v>
      </c>
      <c r="K33" s="663">
        <v>3.7055749128919859</v>
      </c>
      <c r="L33" s="663">
        <v>3.5113636363636362</v>
      </c>
      <c r="M33" s="692">
        <v>3.6537753222836096</v>
      </c>
    </row>
    <row r="34" spans="1:14" ht="15" customHeight="1">
      <c r="A34" s="32" t="s">
        <v>535</v>
      </c>
      <c r="B34" s="44">
        <v>297</v>
      </c>
      <c r="C34" s="48" t="str">
        <f>TEXT($B$1,"00")&amp;"."&amp;TEXT($B34,"000")&amp;"."&amp;TEXT('Campus Selector'!$G$6,"00")</f>
        <v>11.297.25</v>
      </c>
      <c r="D34" s="526"/>
      <c r="E34" s="222"/>
      <c r="F34" s="217" t="s">
        <v>559</v>
      </c>
      <c r="G34" s="219"/>
      <c r="H34" s="219"/>
      <c r="I34" s="219"/>
      <c r="J34" s="662">
        <v>3.3753351206434314</v>
      </c>
      <c r="K34" s="662">
        <v>3.3778501628664497</v>
      </c>
      <c r="L34" s="662">
        <v>3.4716981132075473</v>
      </c>
      <c r="M34" s="693">
        <v>3.4701492537313432</v>
      </c>
    </row>
    <row r="35" spans="1:14" ht="15" customHeight="1">
      <c r="A35" s="32" t="s">
        <v>536</v>
      </c>
      <c r="B35" s="44">
        <v>298</v>
      </c>
      <c r="C35" s="48" t="str">
        <f>TEXT($B$1,"00")&amp;"."&amp;TEXT($B35,"000")&amp;"."&amp;TEXT('Campus Selector'!$G$6,"00")</f>
        <v>11.298.25</v>
      </c>
      <c r="D35" s="526"/>
      <c r="E35" s="210"/>
      <c r="F35" s="154" t="s">
        <v>560</v>
      </c>
      <c r="G35" s="208"/>
      <c r="H35" s="208"/>
      <c r="I35" s="208"/>
      <c r="J35" s="663">
        <v>3.084468664850136</v>
      </c>
      <c r="K35" s="663">
        <v>3.1552901023890785</v>
      </c>
      <c r="L35" s="663">
        <v>3.1842105263157894</v>
      </c>
      <c r="M35" s="692">
        <v>3.0106571936056836</v>
      </c>
    </row>
    <row r="36" spans="1:14" ht="15" customHeight="1">
      <c r="A36" s="32" t="s">
        <v>537</v>
      </c>
      <c r="B36" s="44">
        <v>299</v>
      </c>
      <c r="C36" s="48" t="str">
        <f>TEXT($B$1,"00")&amp;"."&amp;TEXT($B36,"000")&amp;"."&amp;TEXT('Campus Selector'!$G$6,"00")</f>
        <v>11.299.25</v>
      </c>
      <c r="D36" s="527"/>
      <c r="E36" s="222"/>
      <c r="F36" s="217" t="s">
        <v>561</v>
      </c>
      <c r="G36" s="219"/>
      <c r="H36" s="219"/>
      <c r="I36" s="219"/>
      <c r="J36" s="662">
        <v>3.6690340909090908</v>
      </c>
      <c r="K36" s="662">
        <v>3.536412078152753</v>
      </c>
      <c r="L36" s="662">
        <v>3.5288461538461537</v>
      </c>
      <c r="M36" s="693">
        <v>3.727788279773157</v>
      </c>
    </row>
    <row r="37" spans="1:14" ht="15" customHeight="1">
      <c r="A37" s="32" t="s">
        <v>538</v>
      </c>
      <c r="B37" s="44">
        <v>283</v>
      </c>
      <c r="C37" s="48" t="str">
        <f>TEXT($B$1,"00")&amp;"."&amp;TEXT($B37,"000")&amp;"."&amp;TEXT('Campus Selector'!$G$6,"00")</f>
        <v>11.283.25</v>
      </c>
      <c r="D37" s="526"/>
      <c r="E37" s="169"/>
      <c r="F37" s="335" t="s">
        <v>562</v>
      </c>
      <c r="G37" s="336"/>
      <c r="H37" s="336"/>
      <c r="I37" s="336"/>
      <c r="J37" s="665">
        <v>2.8546255506607929</v>
      </c>
      <c r="K37" s="665">
        <v>2.8601583113456464</v>
      </c>
      <c r="L37" s="665">
        <v>2.9073482428115014</v>
      </c>
      <c r="M37" s="694">
        <v>3.1122994652406417</v>
      </c>
    </row>
    <row r="38" spans="1:14" ht="6.95" customHeight="1">
      <c r="C38" s="32"/>
      <c r="D38" s="526"/>
      <c r="E38" s="827"/>
      <c r="F38" s="827"/>
      <c r="G38" s="827"/>
      <c r="H38" s="827"/>
      <c r="I38" s="827"/>
      <c r="J38" s="827"/>
      <c r="K38" s="827"/>
      <c r="L38" s="827"/>
      <c r="M38" s="494"/>
      <c r="N38" s="118"/>
    </row>
    <row r="39" spans="1:14" ht="32.25" customHeight="1">
      <c r="C39" s="32"/>
      <c r="D39" s="526"/>
      <c r="E39" s="869" t="s">
        <v>512</v>
      </c>
      <c r="F39" s="869"/>
      <c r="G39" s="869"/>
      <c r="H39" s="869"/>
      <c r="I39" s="869"/>
      <c r="J39" s="869"/>
      <c r="K39" s="869"/>
      <c r="L39" s="869"/>
      <c r="M39" s="869"/>
    </row>
    <row r="40" spans="1:14" ht="7.5" customHeight="1">
      <c r="C40" s="32"/>
      <c r="D40" s="526"/>
    </row>
    <row r="41" spans="1:14" ht="15" customHeight="1">
      <c r="D41" s="526"/>
      <c r="E41" s="121" t="s">
        <v>260</v>
      </c>
      <c r="F41" s="55"/>
      <c r="G41" s="56"/>
      <c r="H41" s="57"/>
      <c r="I41" s="56"/>
      <c r="J41" s="56"/>
      <c r="K41" s="56"/>
      <c r="L41" s="57"/>
      <c r="M41" s="58"/>
    </row>
    <row r="42" spans="1:14" ht="15" customHeight="1">
      <c r="D42" s="526"/>
      <c r="E42" s="814"/>
      <c r="F42" s="814"/>
      <c r="G42" s="814"/>
      <c r="H42" s="814"/>
      <c r="I42" s="814"/>
      <c r="J42" s="814"/>
      <c r="K42" s="814"/>
      <c r="L42" s="814"/>
      <c r="M42" s="814"/>
    </row>
    <row r="43" spans="1:14" ht="15" customHeight="1">
      <c r="D43" s="526"/>
      <c r="E43" s="814"/>
      <c r="F43" s="814"/>
      <c r="G43" s="814"/>
      <c r="H43" s="814"/>
      <c r="I43" s="814"/>
      <c r="J43" s="814"/>
      <c r="K43" s="814"/>
      <c r="L43" s="814"/>
      <c r="M43" s="814"/>
    </row>
    <row r="44" spans="1:14" ht="15" customHeight="1">
      <c r="D44" s="526"/>
    </row>
    <row r="45" spans="1:14" ht="15" customHeight="1">
      <c r="D45" s="526"/>
    </row>
    <row r="46" spans="1:14" ht="15" customHeight="1">
      <c r="D46" s="526"/>
    </row>
    <row r="47" spans="1:14" ht="15" customHeight="1">
      <c r="D47" s="527"/>
    </row>
    <row r="48" spans="1:14" ht="15" customHeight="1">
      <c r="D48" s="527"/>
    </row>
    <row r="49" spans="4:4" ht="15" customHeight="1">
      <c r="D49" s="526"/>
    </row>
    <row r="50" spans="4:4" ht="15" customHeight="1">
      <c r="D50" s="526"/>
    </row>
    <row r="51" spans="4:4" ht="15" customHeight="1">
      <c r="D51" s="526"/>
    </row>
    <row r="52" spans="4:4" ht="15" customHeight="1">
      <c r="D52" s="526"/>
    </row>
    <row r="53" spans="4:4" ht="15" customHeight="1">
      <c r="D53" s="526"/>
    </row>
    <row r="54" spans="4:4" ht="15" customHeight="1">
      <c r="D54" s="526"/>
    </row>
  </sheetData>
  <mergeCells count="8">
    <mergeCell ref="P5:T5"/>
    <mergeCell ref="E7:G7"/>
    <mergeCell ref="E39:M39"/>
    <mergeCell ref="E42:M43"/>
    <mergeCell ref="E4:M4"/>
    <mergeCell ref="E5:M5"/>
    <mergeCell ref="E6:M6"/>
    <mergeCell ref="E38:L38"/>
  </mergeCells>
  <printOptions horizontalCentered="1"/>
  <pageMargins left="0.2" right="0.2" top="0.5" bottom="0.5" header="0.3" footer="0.3"/>
  <pageSetup scale="85" fitToWidth="0" orientation="landscape" horizontalDpi="300" verticalDpi="300" r:id="rId1"/>
  <headerFooter alignWithMargins="0">
    <oddFooter>&amp;LState University of New York System Administration&amp;R&amp;G</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V58"/>
  <sheetViews>
    <sheetView showGridLines="0" topLeftCell="D5" zoomScaleNormal="100" workbookViewId="0">
      <selection activeCell="U37" sqref="U37"/>
    </sheetView>
  </sheetViews>
  <sheetFormatPr defaultColWidth="9.140625" defaultRowHeight="15" customHeight="1"/>
  <cols>
    <col min="1" max="1" width="9.140625" style="32" hidden="1" customWidth="1"/>
    <col min="2" max="2" width="8" style="44" hidden="1" customWidth="1"/>
    <col min="3" max="3" width="10" style="32" hidden="1" customWidth="1"/>
    <col min="4" max="4" width="10" style="50" customWidth="1"/>
    <col min="5" max="5" width="35.42578125" style="1" customWidth="1"/>
    <col min="6" max="6" width="10" style="53" customWidth="1"/>
    <col min="7" max="7" width="10" style="54" customWidth="1"/>
    <col min="8" max="11" width="10" style="53" customWidth="1"/>
    <col min="12" max="16384" width="9.140625" style="1"/>
  </cols>
  <sheetData>
    <row r="1" spans="1:22" s="32" customFormat="1" ht="15" hidden="1" customHeight="1">
      <c r="A1" s="32" t="s">
        <v>254</v>
      </c>
      <c r="B1" s="44">
        <v>16</v>
      </c>
      <c r="E1" s="32" t="s">
        <v>480</v>
      </c>
      <c r="F1" s="44">
        <v>19</v>
      </c>
      <c r="G1" s="44">
        <f>F1+1</f>
        <v>20</v>
      </c>
      <c r="H1" s="44">
        <f>G1+1</f>
        <v>21</v>
      </c>
      <c r="I1" s="44">
        <f>H1+1</f>
        <v>22</v>
      </c>
      <c r="J1" s="44">
        <f>I1+1</f>
        <v>23</v>
      </c>
      <c r="K1" s="44">
        <v>25</v>
      </c>
    </row>
    <row r="2" spans="1:22" s="32" customFormat="1" ht="15" hidden="1" customHeight="1">
      <c r="B2" s="44"/>
      <c r="E2" s="32" t="s">
        <v>481</v>
      </c>
      <c r="F2" s="44">
        <v>15</v>
      </c>
      <c r="G2" s="44">
        <f>+F2+1</f>
        <v>16</v>
      </c>
      <c r="H2" s="44">
        <f>+G2+1</f>
        <v>17</v>
      </c>
      <c r="I2" s="44"/>
      <c r="J2" s="44"/>
      <c r="K2" s="44"/>
    </row>
    <row r="3" spans="1:22" s="32" customFormat="1" ht="15" hidden="1" customHeight="1">
      <c r="B3" s="44"/>
      <c r="E3" s="32" t="s">
        <v>482</v>
      </c>
      <c r="F3" s="44"/>
      <c r="G3" s="44">
        <v>23</v>
      </c>
      <c r="H3" s="44">
        <f>+G3+1</f>
        <v>24</v>
      </c>
      <c r="I3" s="44">
        <f>+H3+1</f>
        <v>25</v>
      </c>
      <c r="J3" s="44"/>
      <c r="K3" s="44"/>
    </row>
    <row r="4" spans="1:22" s="32" customFormat="1" ht="15" hidden="1" customHeight="1">
      <c r="B4" s="44"/>
      <c r="E4" s="32" t="s">
        <v>273</v>
      </c>
      <c r="F4" s="44">
        <v>17</v>
      </c>
      <c r="G4" s="44">
        <f>F4+1</f>
        <v>18</v>
      </c>
      <c r="H4" s="44">
        <f>G4+1</f>
        <v>19</v>
      </c>
      <c r="I4" s="44"/>
      <c r="J4" s="44"/>
      <c r="K4" s="44"/>
    </row>
    <row r="5" spans="1:22" ht="15" customHeight="1">
      <c r="R5" s="813"/>
      <c r="S5" s="813"/>
      <c r="T5" s="813"/>
      <c r="U5" s="813"/>
      <c r="V5" s="813"/>
    </row>
    <row r="6" spans="1:22" ht="15" customHeight="1">
      <c r="E6" s="815" t="str">
        <f>"Attachment 2: Data Summary and Detail Tables - "&amp;'Campus Selector'!$G$3</f>
        <v>Attachment 2: Data Summary and Detail Tables - Canton</v>
      </c>
      <c r="F6" s="815"/>
      <c r="G6" s="815"/>
      <c r="H6" s="815"/>
      <c r="I6" s="815"/>
      <c r="J6" s="815"/>
      <c r="K6" s="815"/>
    </row>
    <row r="7" spans="1:22" ht="15" customHeight="1">
      <c r="E7" s="816" t="s">
        <v>410</v>
      </c>
      <c r="F7" s="816"/>
      <c r="G7" s="816"/>
      <c r="H7" s="816"/>
      <c r="I7" s="816"/>
      <c r="J7" s="816"/>
      <c r="K7" s="816"/>
    </row>
    <row r="8" spans="1:22" ht="15" customHeight="1">
      <c r="D8" s="526"/>
      <c r="E8" s="46"/>
      <c r="F8" s="701"/>
      <c r="G8" s="701"/>
      <c r="H8" s="701"/>
      <c r="I8" s="701"/>
      <c r="J8" s="701"/>
      <c r="K8" s="701"/>
    </row>
    <row r="9" spans="1:22" ht="36.75" customHeight="1">
      <c r="B9" s="47" t="s">
        <v>253</v>
      </c>
      <c r="C9" s="48"/>
      <c r="D9" s="526"/>
      <c r="E9" s="715" t="s">
        <v>473</v>
      </c>
      <c r="F9" s="98">
        <v>2009</v>
      </c>
      <c r="G9" s="98">
        <v>2010</v>
      </c>
      <c r="H9" s="98">
        <v>2011</v>
      </c>
      <c r="I9" s="98" t="s">
        <v>451</v>
      </c>
      <c r="J9" s="98" t="s">
        <v>453</v>
      </c>
      <c r="K9" s="98" t="s">
        <v>452</v>
      </c>
    </row>
    <row r="10" spans="1:22" ht="15" customHeight="1">
      <c r="B10" s="47"/>
      <c r="C10" s="48"/>
      <c r="D10" s="526"/>
      <c r="E10" s="817" t="s">
        <v>486</v>
      </c>
      <c r="F10" s="818"/>
      <c r="G10" s="818"/>
      <c r="H10" s="818"/>
      <c r="I10" s="818"/>
      <c r="J10" s="818"/>
      <c r="K10" s="819"/>
    </row>
    <row r="11" spans="1:22" ht="15" customHeight="1">
      <c r="B11" s="47">
        <v>209</v>
      </c>
      <c r="C11" s="48" t="str">
        <f>TEXT($B$1,"00")&amp;"."&amp;TEXT($B11,"000")&amp;"."&amp;TEXT('Campus Selector'!$G$6,"00")</f>
        <v>16.209.25</v>
      </c>
      <c r="D11" s="526"/>
      <c r="E11" s="74" t="s">
        <v>367</v>
      </c>
      <c r="F11" s="430">
        <v>9.5000000000000001E-2</v>
      </c>
      <c r="G11" s="231">
        <v>0.1</v>
      </c>
      <c r="H11" s="262">
        <v>0.129</v>
      </c>
      <c r="I11" s="72"/>
      <c r="J11" s="72"/>
      <c r="K11" s="72"/>
    </row>
    <row r="12" spans="1:22" ht="15" customHeight="1">
      <c r="B12" s="47">
        <v>215</v>
      </c>
      <c r="C12" s="48" t="str">
        <f>TEXT($B$1,"00")&amp;"."&amp;TEXT($B12,"000")&amp;"."&amp;TEXT('Campus Selector'!$G$6,"00")</f>
        <v>16.215.25</v>
      </c>
      <c r="D12" s="526"/>
      <c r="E12" s="74" t="s">
        <v>368</v>
      </c>
      <c r="F12" s="231">
        <v>0.14699999999999999</v>
      </c>
      <c r="G12" s="231">
        <v>0.182</v>
      </c>
      <c r="H12" s="262">
        <v>0.17399999999999999</v>
      </c>
      <c r="I12" s="712">
        <v>0.17</v>
      </c>
      <c r="J12" s="713">
        <v>0.15</v>
      </c>
      <c r="K12" s="714">
        <v>0.13</v>
      </c>
    </row>
    <row r="13" spans="1:22" ht="7.5" customHeight="1">
      <c r="B13" s="47"/>
      <c r="C13" s="48"/>
      <c r="D13" s="526"/>
      <c r="E13" s="381"/>
      <c r="F13" s="382"/>
      <c r="G13" s="382"/>
      <c r="H13" s="382"/>
      <c r="I13" s="382"/>
      <c r="J13" s="382"/>
      <c r="K13" s="382"/>
    </row>
    <row r="14" spans="1:22" ht="15" customHeight="1">
      <c r="B14" s="47"/>
      <c r="C14" s="48"/>
      <c r="D14" s="526"/>
      <c r="E14" s="847" t="s">
        <v>25</v>
      </c>
      <c r="F14" s="848"/>
      <c r="G14" s="848"/>
      <c r="H14" s="848"/>
      <c r="I14" s="848"/>
      <c r="J14" s="848"/>
      <c r="K14" s="849"/>
    </row>
    <row r="15" spans="1:22" ht="15" customHeight="1">
      <c r="B15" s="47">
        <v>215</v>
      </c>
      <c r="C15" s="48" t="str">
        <f>TEXT($B$1,"00")&amp;"."&amp;TEXT($B15,"000")&amp;"."&amp;TEXT('Campus Selector'!$J$9,"00")</f>
        <v>16.215.90</v>
      </c>
      <c r="D15" s="526"/>
      <c r="E15" s="376" t="s">
        <v>487</v>
      </c>
      <c r="F15" s="374">
        <v>0.13277714932126697</v>
      </c>
      <c r="G15" s="374">
        <v>0.14035549703752467</v>
      </c>
      <c r="H15" s="379" t="s">
        <v>327</v>
      </c>
      <c r="I15" s="405" t="s">
        <v>327</v>
      </c>
      <c r="J15" s="405" t="s">
        <v>327</v>
      </c>
      <c r="K15" s="405" t="s">
        <v>327</v>
      </c>
    </row>
    <row r="16" spans="1:22" ht="7.5" customHeight="1">
      <c r="B16" s="47"/>
      <c r="C16" s="48"/>
      <c r="D16" s="526"/>
      <c r="E16" s="381"/>
      <c r="F16" s="382"/>
      <c r="G16" s="382"/>
      <c r="H16" s="382"/>
      <c r="I16" s="382"/>
      <c r="J16" s="382"/>
      <c r="K16" s="382"/>
    </row>
    <row r="17" spans="2:12" ht="15" customHeight="1">
      <c r="B17" s="47"/>
      <c r="C17" s="48"/>
      <c r="D17" s="526"/>
      <c r="E17" s="847" t="s">
        <v>654</v>
      </c>
      <c r="F17" s="848"/>
      <c r="G17" s="848"/>
      <c r="H17" s="848"/>
      <c r="I17" s="848"/>
      <c r="J17" s="848"/>
      <c r="K17" s="849"/>
    </row>
    <row r="18" spans="2:12" ht="15" customHeight="1">
      <c r="B18" s="47">
        <v>215</v>
      </c>
      <c r="C18" s="48" t="s">
        <v>655</v>
      </c>
      <c r="D18" s="526"/>
      <c r="E18" s="376" t="s">
        <v>487</v>
      </c>
      <c r="F18" s="430">
        <v>7.3925104022191407E-2</v>
      </c>
      <c r="G18" s="231">
        <v>7.9360484535393794E-2</v>
      </c>
      <c r="H18" s="262">
        <v>6.987587165906628E-2</v>
      </c>
      <c r="I18" s="405" t="s">
        <v>327</v>
      </c>
      <c r="J18" s="405" t="s">
        <v>327</v>
      </c>
      <c r="K18" s="405" t="s">
        <v>327</v>
      </c>
    </row>
    <row r="19" spans="2:12" ht="7.5" customHeight="1">
      <c r="B19" s="47"/>
      <c r="C19" s="48"/>
      <c r="D19" s="526"/>
      <c r="E19" s="381"/>
      <c r="F19" s="382"/>
      <c r="G19" s="382"/>
      <c r="H19" s="382"/>
      <c r="I19" s="382"/>
      <c r="J19" s="382"/>
      <c r="K19" s="382"/>
    </row>
    <row r="20" spans="2:12" ht="15" customHeight="1">
      <c r="B20" s="47"/>
      <c r="C20" s="48"/>
      <c r="D20" s="526"/>
      <c r="E20" s="847" t="s">
        <v>411</v>
      </c>
      <c r="F20" s="848"/>
      <c r="G20" s="848"/>
      <c r="H20" s="848"/>
      <c r="I20" s="848"/>
      <c r="J20" s="848"/>
      <c r="K20" s="849"/>
    </row>
    <row r="21" spans="2:12" ht="15" customHeight="1">
      <c r="B21" s="47"/>
      <c r="C21" s="48"/>
      <c r="D21" s="526"/>
      <c r="E21" s="873" t="s">
        <v>412</v>
      </c>
      <c r="F21" s="874"/>
      <c r="G21" s="874"/>
      <c r="H21" s="874"/>
      <c r="I21" s="874"/>
      <c r="J21" s="874"/>
      <c r="K21" s="875"/>
    </row>
    <row r="22" spans="2:12" ht="15" customHeight="1">
      <c r="B22" s="47"/>
      <c r="C22" s="48" t="s">
        <v>369</v>
      </c>
      <c r="D22" s="526"/>
      <c r="E22" s="373" t="s">
        <v>367</v>
      </c>
      <c r="F22" s="374">
        <v>7.9000000000000001E-2</v>
      </c>
      <c r="G22" s="374">
        <v>9.2999999999999999E-2</v>
      </c>
      <c r="H22" s="378" t="s">
        <v>327</v>
      </c>
      <c r="I22" s="405" t="s">
        <v>327</v>
      </c>
      <c r="J22" s="405" t="s">
        <v>327</v>
      </c>
      <c r="K22" s="405" t="s">
        <v>327</v>
      </c>
    </row>
    <row r="23" spans="2:12" ht="15" customHeight="1">
      <c r="B23" s="47"/>
      <c r="C23" s="48" t="s">
        <v>370</v>
      </c>
      <c r="D23" s="526"/>
      <c r="E23" s="377" t="s">
        <v>368</v>
      </c>
      <c r="F23" s="379" t="s">
        <v>327</v>
      </c>
      <c r="G23" s="379" t="s">
        <v>327</v>
      </c>
      <c r="H23" s="375">
        <v>8.8999999999999996E-2</v>
      </c>
      <c r="I23" s="405" t="s">
        <v>327</v>
      </c>
      <c r="J23" s="405" t="s">
        <v>327</v>
      </c>
      <c r="K23" s="405" t="s">
        <v>327</v>
      </c>
    </row>
    <row r="24" spans="2:12" ht="15" customHeight="1">
      <c r="B24" s="47"/>
      <c r="C24" s="48"/>
      <c r="D24" s="526"/>
      <c r="E24" s="505"/>
      <c r="F24" s="506"/>
      <c r="G24" s="235"/>
      <c r="H24" s="235"/>
      <c r="I24" s="235"/>
      <c r="J24" s="235"/>
      <c r="K24" s="235"/>
    </row>
    <row r="25" spans="2:12" ht="36.75" customHeight="1">
      <c r="B25" s="47"/>
      <c r="C25" s="48"/>
      <c r="D25" s="526"/>
      <c r="E25" s="59"/>
      <c r="F25" s="386"/>
      <c r="G25" s="386" t="s">
        <v>67</v>
      </c>
      <c r="H25" s="98" t="s">
        <v>68</v>
      </c>
      <c r="I25" s="98" t="s">
        <v>454</v>
      </c>
      <c r="J25" s="98" t="s">
        <v>455</v>
      </c>
      <c r="K25" s="98" t="s">
        <v>378</v>
      </c>
    </row>
    <row r="26" spans="2:12" ht="15" customHeight="1">
      <c r="B26" s="47"/>
      <c r="C26" s="48"/>
      <c r="D26" s="526"/>
      <c r="E26" s="876" t="s">
        <v>242</v>
      </c>
      <c r="F26" s="877"/>
      <c r="G26" s="818"/>
      <c r="H26" s="818"/>
      <c r="I26" s="818"/>
      <c r="J26" s="818"/>
      <c r="K26" s="819"/>
    </row>
    <row r="27" spans="2:12" ht="15" customHeight="1">
      <c r="D27" s="526"/>
      <c r="E27" s="824" t="s">
        <v>243</v>
      </c>
      <c r="F27" s="825"/>
      <c r="G27" s="825"/>
      <c r="H27" s="825"/>
      <c r="I27" s="825"/>
      <c r="J27" s="825"/>
      <c r="K27" s="826"/>
    </row>
    <row r="28" spans="2:12" ht="15" customHeight="1">
      <c r="B28" s="44">
        <v>211</v>
      </c>
      <c r="C28" s="48" t="str">
        <f>TEXT($B$1,"00")&amp;"."&amp;TEXT($B28,"000")&amp;"."&amp;TEXT('Campus Selector'!$G$6,"00")</f>
        <v>16.211.25</v>
      </c>
      <c r="D28" s="526"/>
      <c r="E28" s="507" t="s">
        <v>276</v>
      </c>
      <c r="F28" s="509" t="s">
        <v>708</v>
      </c>
      <c r="G28" s="431" t="s">
        <v>706</v>
      </c>
      <c r="H28" s="431" t="s">
        <v>706</v>
      </c>
      <c r="I28" s="72" t="s">
        <v>706</v>
      </c>
      <c r="J28" s="72" t="s">
        <v>706</v>
      </c>
      <c r="K28" s="72" t="s">
        <v>706</v>
      </c>
    </row>
    <row r="29" spans="2:12" ht="15" customHeight="1">
      <c r="B29" s="44">
        <v>212</v>
      </c>
      <c r="C29" s="48" t="str">
        <f>TEXT($B$1,"00")&amp;"."&amp;TEXT($B29,"000")&amp;"."&amp;TEXT('Campus Selector'!$G$6,"00")</f>
        <v>16.212.25</v>
      </c>
      <c r="D29" s="526"/>
      <c r="E29" s="507" t="s">
        <v>277</v>
      </c>
      <c r="F29" s="509" t="s">
        <v>708</v>
      </c>
      <c r="G29" s="431" t="s">
        <v>37</v>
      </c>
      <c r="H29" s="431" t="s">
        <v>37</v>
      </c>
      <c r="I29" s="72" t="s">
        <v>706</v>
      </c>
      <c r="J29" s="72" t="s">
        <v>706</v>
      </c>
      <c r="K29" s="72" t="s">
        <v>706</v>
      </c>
    </row>
    <row r="30" spans="2:12" ht="15" customHeight="1">
      <c r="B30" s="44">
        <v>213</v>
      </c>
      <c r="C30" s="48" t="str">
        <f>TEXT($B$1,"00")&amp;"."&amp;TEXT($B30,"000")&amp;"."&amp;TEXT('Campus Selector'!$G$6,"00")</f>
        <v>16.213.25</v>
      </c>
      <c r="D30" s="526"/>
      <c r="E30" s="508" t="s">
        <v>289</v>
      </c>
      <c r="F30" s="510" t="s">
        <v>708</v>
      </c>
      <c r="G30" s="432" t="s">
        <v>37</v>
      </c>
      <c r="H30" s="432" t="s">
        <v>37</v>
      </c>
      <c r="I30" s="754" t="s">
        <v>732</v>
      </c>
      <c r="J30" s="755" t="s">
        <v>732</v>
      </c>
      <c r="K30" s="237" t="s">
        <v>732</v>
      </c>
    </row>
    <row r="31" spans="2:12" ht="6.95" customHeight="1">
      <c r="D31" s="526"/>
      <c r="E31" s="827"/>
      <c r="F31" s="827"/>
      <c r="G31" s="827"/>
      <c r="H31" s="827"/>
      <c r="I31" s="827"/>
      <c r="J31" s="827"/>
      <c r="K31" s="827"/>
      <c r="L31" s="118"/>
    </row>
    <row r="32" spans="2:12" ht="15" customHeight="1">
      <c r="D32" s="526"/>
      <c r="E32" s="125" t="s">
        <v>504</v>
      </c>
      <c r="F32" s="125"/>
      <c r="G32" s="125"/>
      <c r="H32" s="125"/>
      <c r="I32" s="125"/>
      <c r="J32" s="125"/>
      <c r="K32" s="125"/>
    </row>
    <row r="33" spans="4:11" ht="30.75" customHeight="1">
      <c r="D33" s="526"/>
      <c r="E33" s="872" t="s">
        <v>734</v>
      </c>
      <c r="F33" s="872"/>
      <c r="G33" s="872"/>
      <c r="H33" s="872"/>
      <c r="I33" s="872"/>
      <c r="J33" s="872"/>
      <c r="K33" s="872"/>
    </row>
    <row r="34" spans="4:11" ht="30.75" customHeight="1">
      <c r="D34" s="526"/>
      <c r="E34" s="872" t="s">
        <v>488</v>
      </c>
      <c r="F34" s="872"/>
      <c r="G34" s="872"/>
      <c r="H34" s="872"/>
      <c r="I34" s="872"/>
      <c r="J34" s="872"/>
      <c r="K34" s="872"/>
    </row>
    <row r="35" spans="4:11" ht="7.5" customHeight="1">
      <c r="D35" s="526"/>
      <c r="E35" s="708"/>
      <c r="F35" s="708"/>
      <c r="G35" s="708"/>
      <c r="H35" s="708"/>
      <c r="I35" s="708"/>
      <c r="J35" s="708"/>
      <c r="K35" s="708"/>
    </row>
    <row r="36" spans="4:11" ht="15" customHeight="1">
      <c r="D36" s="526"/>
      <c r="E36" s="121" t="s">
        <v>260</v>
      </c>
      <c r="F36" s="122"/>
      <c r="G36" s="123"/>
      <c r="H36" s="122"/>
      <c r="I36" s="122"/>
      <c r="J36" s="122"/>
      <c r="K36" s="122"/>
    </row>
    <row r="37" spans="4:11" ht="15" customHeight="1">
      <c r="D37" s="526"/>
      <c r="E37" s="871"/>
      <c r="F37" s="871"/>
      <c r="G37" s="871"/>
      <c r="H37" s="871"/>
      <c r="I37" s="871"/>
      <c r="J37" s="871"/>
      <c r="K37" s="871"/>
    </row>
    <row r="38" spans="4:11" ht="15" customHeight="1">
      <c r="D38" s="526"/>
      <c r="E38" s="871"/>
      <c r="F38" s="871"/>
      <c r="G38" s="871"/>
      <c r="H38" s="871"/>
      <c r="I38" s="871"/>
      <c r="J38" s="871"/>
      <c r="K38" s="871"/>
    </row>
    <row r="39" spans="4:11" ht="15" customHeight="1">
      <c r="D39" s="526"/>
    </row>
    <row r="40" spans="4:11" ht="15" customHeight="1">
      <c r="D40" s="526"/>
    </row>
    <row r="41" spans="4:11" ht="15" customHeight="1">
      <c r="D41" s="526"/>
    </row>
    <row r="42" spans="4:11" ht="15" customHeight="1">
      <c r="D42" s="526"/>
    </row>
    <row r="43" spans="4:11" ht="15" customHeight="1">
      <c r="D43" s="526"/>
    </row>
    <row r="44" spans="4:11" ht="15" customHeight="1">
      <c r="D44" s="526"/>
    </row>
    <row r="45" spans="4:11" ht="15" customHeight="1">
      <c r="D45" s="526"/>
    </row>
    <row r="46" spans="4:11" ht="15" customHeight="1">
      <c r="D46" s="526"/>
    </row>
    <row r="47" spans="4:11" ht="15" customHeight="1">
      <c r="D47" s="526"/>
    </row>
    <row r="48" spans="4:11" ht="15" customHeight="1">
      <c r="D48" s="526"/>
    </row>
    <row r="49" spans="4:4" ht="15" customHeight="1">
      <c r="D49" s="526"/>
    </row>
    <row r="50" spans="4:4" ht="15" customHeight="1">
      <c r="D50" s="526"/>
    </row>
    <row r="51" spans="4:4" ht="15" customHeight="1">
      <c r="D51" s="526"/>
    </row>
    <row r="52" spans="4:4" ht="15" customHeight="1">
      <c r="D52" s="526"/>
    </row>
    <row r="53" spans="4:4" ht="15" customHeight="1">
      <c r="D53" s="526"/>
    </row>
    <row r="54" spans="4:4" ht="15" customHeight="1">
      <c r="D54" s="526"/>
    </row>
    <row r="55" spans="4:4" ht="15" customHeight="1">
      <c r="D55" s="526"/>
    </row>
    <row r="56" spans="4:4" ht="15" customHeight="1">
      <c r="D56" s="526"/>
    </row>
    <row r="57" spans="4:4" ht="15" customHeight="1">
      <c r="D57" s="526"/>
    </row>
    <row r="58" spans="4:4" ht="15" customHeight="1">
      <c r="D58" s="526"/>
    </row>
  </sheetData>
  <mergeCells count="14">
    <mergeCell ref="R5:V5"/>
    <mergeCell ref="E27:K27"/>
    <mergeCell ref="E6:K6"/>
    <mergeCell ref="E7:K7"/>
    <mergeCell ref="E37:K38"/>
    <mergeCell ref="E34:K34"/>
    <mergeCell ref="E10:K10"/>
    <mergeCell ref="E20:K20"/>
    <mergeCell ref="E21:K21"/>
    <mergeCell ref="E26:K26"/>
    <mergeCell ref="E31:K31"/>
    <mergeCell ref="E33:K33"/>
    <mergeCell ref="E14:K14"/>
    <mergeCell ref="E17:K17"/>
  </mergeCells>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sheetPr>
  <dimension ref="A1:V54"/>
  <sheetViews>
    <sheetView showGridLines="0" topLeftCell="D1" zoomScaleNormal="100" workbookViewId="0">
      <selection activeCell="F36" sqref="F36:F37"/>
    </sheetView>
  </sheetViews>
  <sheetFormatPr defaultColWidth="9.140625" defaultRowHeight="15" customHeight="1"/>
  <cols>
    <col min="1" max="1" width="9.140625" style="32" hidden="1" customWidth="1"/>
    <col min="2" max="2" width="8" style="44" hidden="1" customWidth="1"/>
    <col min="3" max="3" width="10" style="32" hidden="1" customWidth="1"/>
    <col min="4" max="4" width="10" style="50" customWidth="1"/>
    <col min="5" max="5" width="39.140625" style="53" customWidth="1"/>
    <col min="6" max="15" width="10" style="1" customWidth="1"/>
    <col min="16" max="16384" width="9.140625" style="1"/>
  </cols>
  <sheetData>
    <row r="1" spans="1:22" s="32" customFormat="1" ht="15" customHeight="1">
      <c r="A1" s="32" t="s">
        <v>254</v>
      </c>
      <c r="B1" s="44">
        <v>12</v>
      </c>
      <c r="E1" s="44"/>
      <c r="F1" s="44">
        <v>19</v>
      </c>
      <c r="G1" s="44">
        <f>F1+1</f>
        <v>20</v>
      </c>
      <c r="H1" s="44">
        <f>G1+1</f>
        <v>21</v>
      </c>
      <c r="I1" s="44">
        <f>H1+1</f>
        <v>22</v>
      </c>
      <c r="J1" s="44">
        <f>I1+1</f>
        <v>23</v>
      </c>
      <c r="K1" s="44">
        <f>J1+1</f>
        <v>24</v>
      </c>
      <c r="L1" s="45"/>
      <c r="M1" s="44"/>
      <c r="N1" s="32">
        <v>27</v>
      </c>
      <c r="O1" s="32">
        <f>+N1+1</f>
        <v>28</v>
      </c>
    </row>
    <row r="2" spans="1:22" s="32" customFormat="1" ht="15" customHeight="1">
      <c r="B2" s="44"/>
      <c r="E2" s="44"/>
    </row>
    <row r="4" spans="1:22" ht="15" customHeight="1">
      <c r="E4" s="815" t="str">
        <f>"Attachment 2: Data Summary and Detail Tables - "&amp;'Campus Selector'!$G$3</f>
        <v>Attachment 2: Data Summary and Detail Tables - Canton</v>
      </c>
      <c r="F4" s="815"/>
      <c r="G4" s="815"/>
      <c r="H4" s="815"/>
      <c r="I4" s="815"/>
      <c r="J4" s="815"/>
      <c r="K4" s="815"/>
      <c r="L4" s="815"/>
      <c r="M4" s="815"/>
      <c r="N4" s="815"/>
      <c r="O4" s="815"/>
    </row>
    <row r="5" spans="1:22" ht="15" customHeight="1">
      <c r="E5" s="816" t="s">
        <v>408</v>
      </c>
      <c r="F5" s="816"/>
      <c r="G5" s="816"/>
      <c r="H5" s="816"/>
      <c r="I5" s="816"/>
      <c r="J5" s="816"/>
      <c r="K5" s="816"/>
      <c r="L5" s="816"/>
      <c r="M5" s="816"/>
      <c r="N5" s="816"/>
      <c r="O5" s="816"/>
      <c r="R5" s="813"/>
      <c r="S5" s="813"/>
      <c r="T5" s="813"/>
      <c r="U5" s="813"/>
      <c r="V5" s="813"/>
    </row>
    <row r="6" spans="1:22" s="60" customFormat="1" ht="15" customHeight="1">
      <c r="A6" s="48"/>
      <c r="B6" s="47"/>
      <c r="C6" s="48"/>
      <c r="D6" s="50"/>
      <c r="E6" s="701"/>
      <c r="F6" s="701"/>
      <c r="G6" s="701"/>
      <c r="H6" s="701"/>
      <c r="I6" s="701"/>
      <c r="J6" s="701"/>
      <c r="K6" s="701"/>
      <c r="L6" s="701"/>
      <c r="M6" s="701"/>
      <c r="N6" s="701"/>
      <c r="O6" s="701"/>
    </row>
    <row r="7" spans="1:22" s="60" customFormat="1" ht="42.75" customHeight="1">
      <c r="A7" s="48"/>
      <c r="B7" s="47" t="s">
        <v>253</v>
      </c>
      <c r="C7" s="48"/>
      <c r="D7" s="526"/>
      <c r="E7" s="715" t="s">
        <v>474</v>
      </c>
      <c r="F7" s="98" t="s">
        <v>73</v>
      </c>
      <c r="G7" s="98" t="s">
        <v>74</v>
      </c>
      <c r="H7" s="98" t="s">
        <v>75</v>
      </c>
      <c r="I7" s="98" t="s">
        <v>76</v>
      </c>
      <c r="J7" s="98" t="s">
        <v>77</v>
      </c>
      <c r="K7" s="98" t="s">
        <v>236</v>
      </c>
      <c r="L7" s="98" t="s">
        <v>47</v>
      </c>
      <c r="M7" s="98" t="s">
        <v>588</v>
      </c>
      <c r="N7" s="98" t="s">
        <v>231</v>
      </c>
      <c r="O7" s="98" t="s">
        <v>54</v>
      </c>
    </row>
    <row r="8" spans="1:22" ht="15" customHeight="1">
      <c r="B8" s="47"/>
      <c r="C8" s="48"/>
      <c r="D8" s="526"/>
      <c r="E8" s="831" t="s">
        <v>477</v>
      </c>
      <c r="F8" s="832"/>
      <c r="G8" s="832"/>
      <c r="H8" s="832"/>
      <c r="I8" s="832"/>
      <c r="J8" s="832"/>
      <c r="K8" s="832"/>
      <c r="L8" s="832"/>
      <c r="M8" s="832"/>
      <c r="N8" s="832"/>
      <c r="O8" s="833"/>
    </row>
    <row r="9" spans="1:22" ht="15" customHeight="1">
      <c r="B9" s="47">
        <v>154</v>
      </c>
      <c r="C9" s="48" t="str">
        <f>TEXT($B$1,"00")&amp;"."&amp;TEXT($B9,"000")&amp;"."&amp;TEXT('Campus Selector'!$G$6,"00")</f>
        <v>12.154.25</v>
      </c>
      <c r="D9" s="526"/>
      <c r="E9" s="369" t="s">
        <v>476</v>
      </c>
      <c r="F9" s="433">
        <v>1.29831903</v>
      </c>
      <c r="G9" s="433">
        <v>1.7608545</v>
      </c>
      <c r="H9" s="433">
        <v>1.8336411400000001</v>
      </c>
      <c r="I9" s="433">
        <v>2.1643140699999996</v>
      </c>
      <c r="J9" s="433">
        <v>1.7731520700000003</v>
      </c>
      <c r="K9" s="433">
        <v>1.4125999299999998</v>
      </c>
      <c r="L9" s="371">
        <f>IF(ISERROR((+K9-J9)/J9),"-",(+K9-J9)/J9)</f>
        <v>-0.20333966054022676</v>
      </c>
      <c r="M9" s="371">
        <f>IF(ISERROR((+K9-F9)/F9),"-",(+K9-F9)/F9)</f>
        <v>8.8022202062308055E-2</v>
      </c>
      <c r="N9" s="749">
        <f>IF(SUM(N10:N12)=0,"",SUM(N10:N12))</f>
        <v>1.6</v>
      </c>
      <c r="O9" s="686">
        <f>IF(SUM(O10:O12)=0,"",SUM(O10:O12))</f>
        <v>1.9</v>
      </c>
    </row>
    <row r="10" spans="1:22" ht="15" customHeight="1">
      <c r="B10" s="44">
        <v>65</v>
      </c>
      <c r="C10" s="48" t="str">
        <f>TEXT($B$1,"00")&amp;"."&amp;TEXT($B10,"000")&amp;"."&amp;TEXT('Campus Selector'!$G$6,"00")</f>
        <v>12.065.25</v>
      </c>
      <c r="D10" s="526"/>
      <c r="E10" s="76" t="s">
        <v>294</v>
      </c>
      <c r="F10" s="434">
        <v>0.85892747999999997</v>
      </c>
      <c r="G10" s="434">
        <v>1.0297301800000001</v>
      </c>
      <c r="H10" s="434">
        <v>0.94696092000000009</v>
      </c>
      <c r="I10" s="435">
        <v>0.92025889999999988</v>
      </c>
      <c r="J10" s="435">
        <v>0.60195392000000003</v>
      </c>
      <c r="K10" s="435">
        <v>0.45441063999999998</v>
      </c>
      <c r="L10" s="203">
        <f>IF(ISERROR((+K10-J10)/J10),"-",(+K10-J10)/J10)</f>
        <v>-0.24510726668247304</v>
      </c>
      <c r="M10" s="203">
        <f>IF(ISERROR((+K10-F10)/F10),"-",(+K10-F10)/F10)</f>
        <v>-0.47095575519367477</v>
      </c>
      <c r="N10" s="750">
        <v>0.5</v>
      </c>
      <c r="O10" s="751">
        <v>0.6</v>
      </c>
    </row>
    <row r="11" spans="1:22" ht="15" customHeight="1">
      <c r="B11" s="44">
        <v>66</v>
      </c>
      <c r="C11" s="48" t="str">
        <f>TEXT($B$1,"00")&amp;"."&amp;TEXT($B11,"000")&amp;"."&amp;TEXT('Campus Selector'!$G$6,"00")</f>
        <v>12.066.25</v>
      </c>
      <c r="D11" s="526"/>
      <c r="E11" s="76" t="s">
        <v>295</v>
      </c>
      <c r="F11" s="434">
        <v>0.28291157</v>
      </c>
      <c r="G11" s="434">
        <v>0.21857814</v>
      </c>
      <c r="H11" s="434">
        <v>0.22248430999999999</v>
      </c>
      <c r="I11" s="434">
        <v>0.33091883</v>
      </c>
      <c r="J11" s="434">
        <v>0.26759791000000005</v>
      </c>
      <c r="K11" s="434">
        <v>0.17868307</v>
      </c>
      <c r="L11" s="203">
        <f>IF(ISERROR((+K11-J11)/J11),"-",(+K11-J11)/J11)</f>
        <v>-0.33227030809022401</v>
      </c>
      <c r="M11" s="203">
        <f>IF(ISERROR((+K11-F11)/F11),"-",(+K11-F11)/F11)</f>
        <v>-0.36841370609197777</v>
      </c>
      <c r="N11" s="752">
        <v>0.2</v>
      </c>
      <c r="O11" s="753">
        <v>0.25</v>
      </c>
    </row>
    <row r="12" spans="1:22" ht="15" customHeight="1">
      <c r="B12" s="44">
        <v>67</v>
      </c>
      <c r="C12" s="48" t="str">
        <f>TEXT($B$1,"00")&amp;"."&amp;TEXT($B12,"000")&amp;"."&amp;TEXT('Campus Selector'!$G$6,"00")</f>
        <v>12.067.25</v>
      </c>
      <c r="D12" s="526"/>
      <c r="E12" s="76" t="s">
        <v>296</v>
      </c>
      <c r="F12" s="434">
        <v>0.15647998000000002</v>
      </c>
      <c r="G12" s="434">
        <v>0.51254617999999996</v>
      </c>
      <c r="H12" s="434">
        <v>0.66419591</v>
      </c>
      <c r="I12" s="434">
        <v>0.91313633999999988</v>
      </c>
      <c r="J12" s="434">
        <v>0.90360024000000005</v>
      </c>
      <c r="K12" s="434">
        <v>0.77950622000000003</v>
      </c>
      <c r="L12" s="72">
        <f>IF(ISERROR((+K12-J12)/J12),"-",(+K12-J12)/J12)</f>
        <v>-0.1373328763170758</v>
      </c>
      <c r="M12" s="72">
        <f>IF(ISERROR((+K12-F12)/F12),"-",(+K12-F12)/F12)</f>
        <v>3.9815076663481159</v>
      </c>
      <c r="N12" s="750">
        <v>0.9</v>
      </c>
      <c r="O12" s="751">
        <v>1.05</v>
      </c>
    </row>
    <row r="13" spans="1:22" ht="15" customHeight="1">
      <c r="C13" s="48"/>
      <c r="D13" s="526"/>
      <c r="E13" s="104"/>
      <c r="F13" s="363"/>
      <c r="G13" s="363"/>
      <c r="H13" s="363"/>
      <c r="I13" s="363"/>
      <c r="J13" s="363"/>
      <c r="K13" s="363"/>
      <c r="L13" s="75"/>
      <c r="M13" s="75"/>
      <c r="N13" s="264"/>
      <c r="O13" s="264"/>
    </row>
    <row r="14" spans="1:22" ht="15" customHeight="1">
      <c r="C14" s="48"/>
      <c r="D14" s="526"/>
      <c r="E14" s="817" t="s">
        <v>478</v>
      </c>
      <c r="F14" s="818"/>
      <c r="G14" s="818"/>
      <c r="H14" s="818"/>
      <c r="I14" s="818"/>
      <c r="J14" s="818"/>
      <c r="K14" s="818"/>
      <c r="L14" s="818"/>
      <c r="M14" s="818"/>
      <c r="N14" s="818"/>
      <c r="O14" s="819"/>
    </row>
    <row r="15" spans="1:22" ht="15" customHeight="1">
      <c r="B15" s="47">
        <v>155</v>
      </c>
      <c r="C15" s="48" t="str">
        <f>TEXT($B$1,"00")&amp;"."&amp;TEXT($B15,"000")&amp;"."&amp;TEXT('Campus Selector'!$G$6,"00")</f>
        <v>12.155.25</v>
      </c>
      <c r="D15" s="526"/>
      <c r="E15" s="369" t="s">
        <v>374</v>
      </c>
      <c r="F15" s="433" t="s">
        <v>187</v>
      </c>
      <c r="G15" s="433" t="s">
        <v>187</v>
      </c>
      <c r="H15" s="433" t="s">
        <v>187</v>
      </c>
      <c r="I15" s="433" t="s">
        <v>187</v>
      </c>
      <c r="J15" s="436">
        <v>0.23799999999999999</v>
      </c>
      <c r="K15" s="370" t="s">
        <v>187</v>
      </c>
      <c r="L15" s="372" t="str">
        <f>IF(ISERROR(+(J15-I15)/I15),"-",+(J15-I15)/I15)</f>
        <v>-</v>
      </c>
      <c r="M15" s="371">
        <f>IF(OR(F15=0,F15="n/a"),1,(+J15-F15)/F15)</f>
        <v>1</v>
      </c>
      <c r="N15" s="687">
        <v>0.25</v>
      </c>
      <c r="O15" s="686">
        <v>0.3</v>
      </c>
    </row>
    <row r="16" spans="1:22" ht="15" customHeight="1">
      <c r="B16" s="44">
        <v>156</v>
      </c>
      <c r="C16" s="48" t="str">
        <f>TEXT($B$1,"00")&amp;"."&amp;TEXT($B16,"000")&amp;"."&amp;TEXT('Campus Selector'!$G$6,"00")</f>
        <v>12.156.25</v>
      </c>
      <c r="D16" s="526"/>
      <c r="E16" s="76" t="s">
        <v>323</v>
      </c>
      <c r="F16" s="434" t="s">
        <v>187</v>
      </c>
      <c r="G16" s="640" t="s">
        <v>187</v>
      </c>
      <c r="H16" s="640" t="s">
        <v>187</v>
      </c>
      <c r="I16" s="641" t="s">
        <v>187</v>
      </c>
      <c r="J16" s="642">
        <v>1.0999999999999999E-2</v>
      </c>
      <c r="K16" s="406" t="s">
        <v>327</v>
      </c>
      <c r="L16" s="263" t="str">
        <f>IF(ISERROR(+(J16-I16)/I16),"-",+(J16-I16)/I16)</f>
        <v>-</v>
      </c>
      <c r="M16" s="203">
        <f>IF(ISERROR(IF(OR(F16=0,F16="n/a"),1,(+J16-F16)/F16)),"-",IF(OR(F16=0,F16="n/a"),1,(+J16-F16)/F16))</f>
        <v>1</v>
      </c>
      <c r="N16" s="688"/>
      <c r="O16" s="688"/>
    </row>
    <row r="17" spans="2:15" ht="15" customHeight="1">
      <c r="B17" s="44">
        <v>157</v>
      </c>
      <c r="C17" s="48" t="str">
        <f>TEXT($B$1,"00")&amp;"."&amp;TEXT($B17,"000")&amp;"."&amp;TEXT('Campus Selector'!$G$6,"00")</f>
        <v>12.157.25</v>
      </c>
      <c r="D17" s="526"/>
      <c r="E17" s="76" t="s">
        <v>324</v>
      </c>
      <c r="F17" s="434" t="s">
        <v>187</v>
      </c>
      <c r="G17" s="640" t="s">
        <v>187</v>
      </c>
      <c r="H17" s="640" t="s">
        <v>187</v>
      </c>
      <c r="I17" s="640" t="s">
        <v>187</v>
      </c>
      <c r="J17" s="643">
        <v>0</v>
      </c>
      <c r="K17" s="406" t="s">
        <v>327</v>
      </c>
      <c r="L17" s="263" t="str">
        <f t="shared" ref="L17:L21" si="0">IF(ISERROR(+(J17-I17)/I17),"-",+(J17-I17)/I17)</f>
        <v>-</v>
      </c>
      <c r="M17" s="203">
        <f t="shared" ref="M17:M21" si="1">IF(ISERROR(IF(OR(F17=0,F17="n/a"),1,(+J17-F17)/F17)),"-",IF(OR(F17=0,F17="n/a"),1,(+J17-F17)/F17))</f>
        <v>1</v>
      </c>
      <c r="N17" s="689"/>
      <c r="O17" s="689"/>
    </row>
    <row r="18" spans="2:15" ht="15" customHeight="1">
      <c r="B18" s="44">
        <v>158</v>
      </c>
      <c r="C18" s="48" t="str">
        <f>TEXT($B$1,"00")&amp;"."&amp;TEXT($B18,"000")&amp;"."&amp;TEXT('Campus Selector'!$G$6,"00")</f>
        <v>12.158.25</v>
      </c>
      <c r="D18" s="526"/>
      <c r="E18" s="78" t="s">
        <v>325</v>
      </c>
      <c r="F18" s="437" t="s">
        <v>187</v>
      </c>
      <c r="G18" s="644" t="s">
        <v>187</v>
      </c>
      <c r="H18" s="644" t="s">
        <v>187</v>
      </c>
      <c r="I18" s="644" t="s">
        <v>187</v>
      </c>
      <c r="J18" s="645">
        <v>0.17100000000000001</v>
      </c>
      <c r="K18" s="406" t="s">
        <v>327</v>
      </c>
      <c r="L18" s="234" t="str">
        <f t="shared" si="0"/>
        <v>-</v>
      </c>
      <c r="M18" s="86">
        <f t="shared" si="1"/>
        <v>1</v>
      </c>
      <c r="N18" s="690"/>
      <c r="O18" s="690"/>
    </row>
    <row r="19" spans="2:15" ht="15" customHeight="1">
      <c r="B19" s="44">
        <v>305</v>
      </c>
      <c r="C19" s="48" t="str">
        <f>TEXT($B$1,"00")&amp;"."&amp;TEXT($B19,"000")&amp;"."&amp;TEXT('Campus Selector'!$G$6,"00")</f>
        <v>12.305.25</v>
      </c>
      <c r="D19" s="526"/>
      <c r="E19" s="71" t="s">
        <v>371</v>
      </c>
      <c r="F19" s="437" t="s">
        <v>187</v>
      </c>
      <c r="G19" s="644" t="s">
        <v>187</v>
      </c>
      <c r="H19" s="644" t="s">
        <v>187</v>
      </c>
      <c r="I19" s="644" t="s">
        <v>187</v>
      </c>
      <c r="J19" s="645">
        <v>5.6000000000000001E-2</v>
      </c>
      <c r="K19" s="406" t="s">
        <v>327</v>
      </c>
      <c r="L19" s="234" t="str">
        <f t="shared" si="0"/>
        <v>-</v>
      </c>
      <c r="M19" s="267">
        <f t="shared" si="1"/>
        <v>1</v>
      </c>
      <c r="N19" s="688"/>
      <c r="O19" s="688"/>
    </row>
    <row r="20" spans="2:15" ht="15" customHeight="1">
      <c r="B20" s="44">
        <v>306</v>
      </c>
      <c r="C20" s="48" t="str">
        <f>TEXT($B$1,"00")&amp;"."&amp;TEXT($B20,"000")&amp;"."&amp;TEXT('Campus Selector'!$G$6,"00")</f>
        <v>12.306.25</v>
      </c>
      <c r="D20" s="526"/>
      <c r="E20" s="71" t="s">
        <v>372</v>
      </c>
      <c r="F20" s="437" t="s">
        <v>187</v>
      </c>
      <c r="G20" s="644" t="s">
        <v>187</v>
      </c>
      <c r="H20" s="644" t="s">
        <v>187</v>
      </c>
      <c r="I20" s="644" t="s">
        <v>187</v>
      </c>
      <c r="J20" s="645">
        <v>0</v>
      </c>
      <c r="K20" s="406" t="s">
        <v>327</v>
      </c>
      <c r="L20" s="234" t="str">
        <f t="shared" si="0"/>
        <v>-</v>
      </c>
      <c r="M20" s="267">
        <f t="shared" si="1"/>
        <v>1</v>
      </c>
      <c r="N20" s="688"/>
      <c r="O20" s="688"/>
    </row>
    <row r="21" spans="2:15" ht="15" customHeight="1">
      <c r="B21" s="44">
        <v>307</v>
      </c>
      <c r="C21" s="48" t="str">
        <f>TEXT($B$1,"00")&amp;"."&amp;TEXT($B21,"000")&amp;"."&amp;TEXT('Campus Selector'!$G$6,"00")</f>
        <v>12.307.25</v>
      </c>
      <c r="D21" s="526"/>
      <c r="E21" s="71" t="s">
        <v>373</v>
      </c>
      <c r="F21" s="437" t="s">
        <v>187</v>
      </c>
      <c r="G21" s="644" t="s">
        <v>187</v>
      </c>
      <c r="H21" s="644" t="s">
        <v>187</v>
      </c>
      <c r="I21" s="644" t="s">
        <v>187</v>
      </c>
      <c r="J21" s="645">
        <v>0</v>
      </c>
      <c r="K21" s="406" t="s">
        <v>327</v>
      </c>
      <c r="L21" s="234" t="str">
        <f t="shared" si="0"/>
        <v>-</v>
      </c>
      <c r="M21" s="267">
        <f t="shared" si="1"/>
        <v>1</v>
      </c>
      <c r="N21" s="688"/>
      <c r="O21" s="688"/>
    </row>
    <row r="22" spans="2:15" ht="15" customHeight="1">
      <c r="C22" s="48"/>
      <c r="D22" s="526"/>
      <c r="E22" s="104"/>
      <c r="F22" s="368"/>
      <c r="G22" s="368"/>
      <c r="H22" s="368"/>
      <c r="I22" s="368"/>
      <c r="J22" s="368"/>
      <c r="K22" s="383"/>
      <c r="L22" s="75"/>
      <c r="M22" s="75"/>
      <c r="N22" s="264"/>
      <c r="O22" s="264"/>
    </row>
    <row r="23" spans="2:15" ht="15" customHeight="1">
      <c r="C23" s="48"/>
      <c r="D23" s="526"/>
      <c r="E23" s="698" t="s">
        <v>409</v>
      </c>
      <c r="F23" s="364"/>
      <c r="G23" s="364"/>
      <c r="H23" s="364"/>
      <c r="I23" s="364"/>
      <c r="J23" s="364"/>
      <c r="K23" s="364"/>
      <c r="L23" s="365"/>
      <c r="M23" s="365"/>
      <c r="N23" s="366"/>
      <c r="O23" s="367"/>
    </row>
    <row r="24" spans="2:15" ht="15" customHeight="1">
      <c r="B24" s="44">
        <v>153</v>
      </c>
      <c r="C24" s="48" t="str">
        <f>TEXT($B$1,"00")&amp;"."&amp;TEXT($B24,"000")&amp;"."&amp;TEXT('Campus Selector'!$G$6,"00")</f>
        <v>12.153.25</v>
      </c>
      <c r="D24" s="526"/>
      <c r="E24" s="225" t="s">
        <v>297</v>
      </c>
      <c r="F24" s="265">
        <v>0</v>
      </c>
      <c r="G24" s="116">
        <v>0</v>
      </c>
      <c r="H24" s="116">
        <v>0</v>
      </c>
      <c r="I24" s="226">
        <v>0</v>
      </c>
      <c r="J24" s="226">
        <v>0</v>
      </c>
      <c r="K24" s="226">
        <v>0</v>
      </c>
      <c r="L24" s="203" t="str">
        <f>IF(ISERROR((+K24-J24)/J24),"-",(+K24-J24)/J24)</f>
        <v>-</v>
      </c>
      <c r="M24" s="203" t="str">
        <f>IF(ISERROR((+K24-F24)/F24),"-",(+K24-F24)/F24)</f>
        <v>-</v>
      </c>
      <c r="N24" s="438">
        <v>0</v>
      </c>
      <c r="O24" s="439">
        <v>0</v>
      </c>
    </row>
    <row r="25" spans="2:15" ht="15" customHeight="1">
      <c r="B25" s="44">
        <v>159</v>
      </c>
      <c r="C25" s="48" t="str">
        <f>TEXT($B$1,"00")&amp;"."&amp;TEXT($B25,"000")&amp;"."&amp;TEXT('Campus Selector'!$G$6,"00")</f>
        <v>12.159.25</v>
      </c>
      <c r="D25" s="526"/>
      <c r="E25" s="106" t="s">
        <v>298</v>
      </c>
      <c r="F25" s="266">
        <v>0</v>
      </c>
      <c r="G25" s="227">
        <v>0</v>
      </c>
      <c r="H25" s="227">
        <v>0</v>
      </c>
      <c r="I25" s="228">
        <v>0</v>
      </c>
      <c r="J25" s="228">
        <v>0</v>
      </c>
      <c r="K25" s="228">
        <v>0</v>
      </c>
      <c r="L25" s="203" t="str">
        <f>IF(ISERROR((+K25-J25)/J25),"-",(+K25-J25)/J25)</f>
        <v>-</v>
      </c>
      <c r="M25" s="203" t="str">
        <f>IF(ISERROR((+K25-F25)/F25),"-",(+K25-F25)/F25)</f>
        <v>-</v>
      </c>
      <c r="N25" s="438">
        <v>1</v>
      </c>
      <c r="O25" s="439">
        <v>2</v>
      </c>
    </row>
    <row r="26" spans="2:15" ht="15" customHeight="1">
      <c r="B26" s="44">
        <v>160</v>
      </c>
      <c r="C26" s="48" t="str">
        <f>TEXT($B$1,"00")&amp;"."&amp;TEXT($B26,"000")&amp;"."&amp;TEXT('Campus Selector'!$G$6,"00")</f>
        <v>12.160.25</v>
      </c>
      <c r="D26" s="526"/>
      <c r="E26" s="106" t="s">
        <v>299</v>
      </c>
      <c r="F26" s="266">
        <v>0</v>
      </c>
      <c r="G26" s="227">
        <v>0</v>
      </c>
      <c r="H26" s="227">
        <v>0</v>
      </c>
      <c r="I26" s="228">
        <v>0</v>
      </c>
      <c r="J26" s="228">
        <v>0</v>
      </c>
      <c r="K26" s="228">
        <v>0</v>
      </c>
      <c r="L26" s="203" t="str">
        <f>IF(ISERROR((+K26-J26)/J26),"-",(+K26-J26)/J26)</f>
        <v>-</v>
      </c>
      <c r="M26" s="203" t="str">
        <f>IF(ISERROR((+K26-F26)/F26),"-",(+K26-F26)/F26)</f>
        <v>-</v>
      </c>
      <c r="N26" s="438">
        <v>1</v>
      </c>
      <c r="O26" s="439">
        <v>2</v>
      </c>
    </row>
    <row r="27" spans="2:15" ht="15" customHeight="1">
      <c r="B27" s="44">
        <v>208</v>
      </c>
      <c r="C27" s="48" t="str">
        <f>TEXT($B$1,"00")&amp;"."&amp;TEXT($B27,"000")&amp;"."&amp;TEXT('Campus Selector'!$G$6,"00")</f>
        <v>12.208.25</v>
      </c>
      <c r="D27" s="526"/>
      <c r="E27" s="106" t="s">
        <v>300</v>
      </c>
      <c r="F27" s="266">
        <v>0</v>
      </c>
      <c r="G27" s="227">
        <v>0</v>
      </c>
      <c r="H27" s="227">
        <v>0</v>
      </c>
      <c r="I27" s="228">
        <v>0</v>
      </c>
      <c r="J27" s="228">
        <v>0</v>
      </c>
      <c r="K27" s="228">
        <v>0</v>
      </c>
      <c r="L27" s="203" t="str">
        <f>IF(ISERROR((+K27-J27)/J27),"-",(+K27-J27)/J27)</f>
        <v>-</v>
      </c>
      <c r="M27" s="203" t="str">
        <f>IF(ISERROR((+K27-F27)/F27),"-",(+K27-F27)/F27)</f>
        <v>-</v>
      </c>
      <c r="N27" s="440">
        <v>0</v>
      </c>
      <c r="O27" s="441">
        <v>0</v>
      </c>
    </row>
    <row r="28" spans="2:15" ht="6.95" customHeight="1">
      <c r="D28" s="526"/>
      <c r="E28" s="827"/>
      <c r="F28" s="827"/>
      <c r="G28" s="827"/>
      <c r="H28" s="827"/>
      <c r="I28" s="827"/>
      <c r="J28" s="827"/>
      <c r="K28" s="827"/>
      <c r="L28" s="827"/>
      <c r="M28" s="704"/>
      <c r="N28" s="118"/>
      <c r="O28" s="118"/>
    </row>
    <row r="29" spans="2:15" ht="15" customHeight="1">
      <c r="D29" s="526"/>
      <c r="E29" s="229" t="s">
        <v>363</v>
      </c>
      <c r="F29" s="137"/>
      <c r="G29" s="137"/>
      <c r="H29" s="137"/>
      <c r="I29" s="137"/>
      <c r="J29" s="137"/>
      <c r="K29" s="137"/>
      <c r="L29" s="137"/>
      <c r="M29" s="137"/>
      <c r="N29" s="118"/>
      <c r="O29" s="118"/>
    </row>
    <row r="30" spans="2:15" ht="15" customHeight="1">
      <c r="D30" s="526"/>
      <c r="E30" s="229" t="s">
        <v>364</v>
      </c>
      <c r="F30" s="229"/>
      <c r="G30" s="229"/>
      <c r="H30" s="229"/>
      <c r="I30" s="229"/>
      <c r="J30" s="229"/>
      <c r="K30" s="229"/>
      <c r="L30" s="229"/>
      <c r="M30" s="229"/>
      <c r="N30" s="118"/>
      <c r="O30" s="118"/>
    </row>
    <row r="31" spans="2:15" ht="15" customHeight="1">
      <c r="D31" s="526"/>
      <c r="E31" s="126"/>
      <c r="F31" s="118"/>
      <c r="G31" s="118"/>
      <c r="H31" s="118"/>
      <c r="I31" s="118"/>
      <c r="J31" s="118"/>
      <c r="K31" s="118"/>
      <c r="L31" s="118"/>
      <c r="M31" s="118"/>
      <c r="N31" s="118"/>
      <c r="O31" s="118"/>
    </row>
    <row r="32" spans="2:15" ht="15" customHeight="1">
      <c r="D32" s="526"/>
      <c r="E32" s="121" t="s">
        <v>260</v>
      </c>
      <c r="F32" s="121"/>
      <c r="G32" s="122"/>
      <c r="H32" s="123"/>
      <c r="I32" s="122"/>
      <c r="J32" s="122"/>
      <c r="K32" s="122"/>
      <c r="L32" s="123"/>
      <c r="M32" s="124"/>
      <c r="N32" s="124"/>
      <c r="O32" s="124"/>
    </row>
    <row r="33" spans="1:15" s="50" customFormat="1" ht="15" customHeight="1">
      <c r="A33" s="32"/>
      <c r="B33" s="44"/>
      <c r="C33" s="32"/>
      <c r="D33" s="526"/>
      <c r="E33" s="814"/>
      <c r="F33" s="814"/>
      <c r="G33" s="814"/>
      <c r="H33" s="814"/>
      <c r="I33" s="814"/>
      <c r="J33" s="814"/>
      <c r="K33" s="814"/>
      <c r="L33" s="814"/>
      <c r="M33" s="814"/>
      <c r="N33" s="814"/>
      <c r="O33" s="814"/>
    </row>
    <row r="34" spans="1:15" ht="15" customHeight="1">
      <c r="D34" s="526"/>
      <c r="E34" s="814"/>
      <c r="F34" s="814"/>
      <c r="G34" s="814"/>
      <c r="H34" s="814"/>
      <c r="I34" s="814"/>
      <c r="J34" s="814"/>
      <c r="K34" s="814"/>
      <c r="L34" s="814"/>
      <c r="M34" s="814"/>
      <c r="N34" s="814"/>
      <c r="O34" s="814"/>
    </row>
    <row r="35" spans="1:15" ht="15" customHeight="1">
      <c r="D35" s="526"/>
    </row>
    <row r="36" spans="1:15" ht="15" customHeight="1">
      <c r="D36" s="526"/>
    </row>
    <row r="37" spans="1:15" ht="15" customHeight="1">
      <c r="D37" s="526"/>
    </row>
    <row r="38" spans="1:15" ht="15" customHeight="1">
      <c r="D38" s="526"/>
    </row>
    <row r="39" spans="1:15" ht="15" customHeight="1">
      <c r="D39" s="526"/>
    </row>
    <row r="40" spans="1:15" ht="15" customHeight="1">
      <c r="D40" s="526"/>
    </row>
    <row r="41" spans="1:15" ht="15" customHeight="1">
      <c r="D41" s="526"/>
    </row>
    <row r="42" spans="1:15" ht="15" customHeight="1">
      <c r="D42" s="526"/>
    </row>
    <row r="43" spans="1:15" ht="15" customHeight="1">
      <c r="D43" s="526"/>
    </row>
    <row r="44" spans="1:15" ht="15" customHeight="1">
      <c r="D44" s="526"/>
    </row>
    <row r="45" spans="1:15" ht="15" customHeight="1">
      <c r="D45" s="526"/>
    </row>
    <row r="46" spans="1:15" ht="15" customHeight="1">
      <c r="D46" s="526"/>
    </row>
    <row r="47" spans="1:15" ht="15" customHeight="1">
      <c r="D47" s="526"/>
    </row>
    <row r="48" spans="1:15" ht="15" customHeight="1">
      <c r="D48" s="526"/>
    </row>
    <row r="49" spans="4:4" ht="15" customHeight="1">
      <c r="D49" s="526"/>
    </row>
    <row r="50" spans="4:4" ht="15" customHeight="1">
      <c r="D50" s="526"/>
    </row>
    <row r="51" spans="4:4" ht="15" customHeight="1">
      <c r="D51" s="526"/>
    </row>
    <row r="52" spans="4:4" ht="15" customHeight="1">
      <c r="D52" s="526"/>
    </row>
    <row r="53" spans="4:4" ht="15" customHeight="1">
      <c r="D53" s="526"/>
    </row>
    <row r="54" spans="4:4" ht="15" customHeight="1">
      <c r="D54" s="526"/>
    </row>
  </sheetData>
  <mergeCells count="7">
    <mergeCell ref="R5:V5"/>
    <mergeCell ref="E4:O4"/>
    <mergeCell ref="E5:O5"/>
    <mergeCell ref="E8:O8"/>
    <mergeCell ref="E33:O34"/>
    <mergeCell ref="E14:O14"/>
    <mergeCell ref="E28:L28"/>
  </mergeCells>
  <phoneticPr fontId="5" type="noConversion"/>
  <printOptions horizontalCentered="1"/>
  <pageMargins left="0.2" right="0.2" top="0.5" bottom="0.5" header="0.3" footer="0.3"/>
  <pageSetup scale="95" fitToWidth="0" orientation="landscape" horizontalDpi="300" verticalDpi="300" r:id="rId1"/>
  <headerFooter alignWithMargins="0">
    <oddFooter>&amp;LState University of New York System Administration&amp;R&amp;G</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F0"/>
  </sheetPr>
  <dimension ref="A1:V52"/>
  <sheetViews>
    <sheetView showGridLines="0" tabSelected="1" topLeftCell="D3" zoomScaleNormal="100" workbookViewId="0">
      <selection activeCell="Q32" sqref="Q32"/>
    </sheetView>
  </sheetViews>
  <sheetFormatPr defaultColWidth="9.140625" defaultRowHeight="15" customHeight="1"/>
  <cols>
    <col min="1" max="1" width="9.140625" style="32" hidden="1" customWidth="1"/>
    <col min="2" max="2" width="8" style="44" hidden="1" customWidth="1"/>
    <col min="3" max="3" width="13" style="32" hidden="1" customWidth="1"/>
    <col min="4" max="4" width="10" style="50" customWidth="1"/>
    <col min="5" max="5" width="32.85546875" style="1" customWidth="1"/>
    <col min="6" max="7" width="10" style="53" customWidth="1"/>
    <col min="8" max="8" width="10" style="54" customWidth="1"/>
    <col min="9" max="11" width="10" style="53" customWidth="1"/>
    <col min="12" max="12" width="10" style="54" customWidth="1"/>
    <col min="13" max="14" width="10" style="1" customWidth="1"/>
    <col min="15" max="16384" width="9.140625" style="1"/>
  </cols>
  <sheetData>
    <row r="1" spans="1:22" s="32" customFormat="1" ht="15" hidden="1" customHeight="1">
      <c r="A1" s="32" t="s">
        <v>254</v>
      </c>
      <c r="B1" s="44">
        <v>19</v>
      </c>
      <c r="F1" s="44">
        <v>19</v>
      </c>
      <c r="G1" s="44">
        <f>F1+1</f>
        <v>20</v>
      </c>
      <c r="H1" s="44">
        <f>G1+1</f>
        <v>21</v>
      </c>
      <c r="I1" s="44">
        <f>H1+1</f>
        <v>22</v>
      </c>
      <c r="J1" s="44">
        <f>I1+1</f>
        <v>23</v>
      </c>
      <c r="K1" s="44">
        <f>J1+1</f>
        <v>24</v>
      </c>
      <c r="L1" s="45"/>
      <c r="M1" s="44">
        <f>+K1+3</f>
        <v>27</v>
      </c>
      <c r="N1" s="45">
        <f>+M1+1</f>
        <v>28</v>
      </c>
    </row>
    <row r="2" spans="1:22" s="32" customFormat="1" ht="15" hidden="1" customHeight="1">
      <c r="B2" s="44"/>
      <c r="F2" s="44">
        <v>17</v>
      </c>
      <c r="G2" s="44">
        <f>+F2+1</f>
        <v>18</v>
      </c>
      <c r="H2" s="44">
        <f>+G2+1</f>
        <v>19</v>
      </c>
      <c r="I2" s="44">
        <f>+H2+1</f>
        <v>20</v>
      </c>
      <c r="J2" s="44">
        <f>+I2+1</f>
        <v>21</v>
      </c>
      <c r="K2" s="44">
        <f>+J2+1</f>
        <v>22</v>
      </c>
      <c r="L2" s="45"/>
    </row>
    <row r="4" spans="1:22" ht="15" customHeight="1">
      <c r="E4" s="815" t="str">
        <f>"Attachment 2: Data Summary and Detail Tables - "&amp;'Campus Selector'!$G$3</f>
        <v>Attachment 2: Data Summary and Detail Tables - Canton</v>
      </c>
      <c r="F4" s="815"/>
      <c r="G4" s="815"/>
      <c r="H4" s="815"/>
      <c r="I4" s="815"/>
      <c r="J4" s="815"/>
      <c r="K4" s="815"/>
      <c r="L4" s="815"/>
      <c r="M4" s="815"/>
      <c r="N4" s="815"/>
    </row>
    <row r="5" spans="1:22" ht="15" customHeight="1">
      <c r="E5" s="816" t="s">
        <v>431</v>
      </c>
      <c r="F5" s="816"/>
      <c r="G5" s="816"/>
      <c r="H5" s="816"/>
      <c r="I5" s="816"/>
      <c r="J5" s="816"/>
      <c r="K5" s="816"/>
      <c r="L5" s="816"/>
      <c r="M5" s="816"/>
      <c r="N5" s="816"/>
      <c r="R5" s="813"/>
      <c r="S5" s="813"/>
      <c r="T5" s="813"/>
      <c r="U5" s="813"/>
      <c r="V5" s="813"/>
    </row>
    <row r="6" spans="1:22" ht="15" customHeight="1">
      <c r="E6" s="46"/>
      <c r="F6" s="701"/>
      <c r="G6" s="701"/>
      <c r="H6" s="701"/>
      <c r="I6" s="701"/>
      <c r="J6" s="701"/>
      <c r="K6" s="701"/>
      <c r="L6" s="701"/>
    </row>
    <row r="7" spans="1:22" ht="40.5" customHeight="1">
      <c r="B7" s="47" t="s">
        <v>253</v>
      </c>
      <c r="C7" s="48"/>
      <c r="D7" s="526"/>
      <c r="E7" s="715" t="s">
        <v>475</v>
      </c>
      <c r="F7" s="98" t="s">
        <v>38</v>
      </c>
      <c r="G7" s="98" t="s">
        <v>64</v>
      </c>
      <c r="H7" s="98" t="s">
        <v>65</v>
      </c>
      <c r="I7" s="98" t="s">
        <v>66</v>
      </c>
      <c r="J7" s="98" t="s">
        <v>67</v>
      </c>
      <c r="K7" s="98" t="s">
        <v>68</v>
      </c>
      <c r="L7" s="98" t="s">
        <v>39</v>
      </c>
      <c r="M7" s="98" t="s">
        <v>424</v>
      </c>
      <c r="N7" s="98" t="s">
        <v>425</v>
      </c>
    </row>
    <row r="8" spans="1:22" ht="15" customHeight="1">
      <c r="B8" s="47"/>
      <c r="C8" s="48"/>
      <c r="D8" s="526"/>
      <c r="E8" s="817" t="s">
        <v>275</v>
      </c>
      <c r="F8" s="818"/>
      <c r="G8" s="818"/>
      <c r="H8" s="818"/>
      <c r="I8" s="818"/>
      <c r="J8" s="818"/>
      <c r="K8" s="818"/>
      <c r="L8" s="818"/>
      <c r="M8" s="818"/>
      <c r="N8" s="819"/>
    </row>
    <row r="9" spans="1:22" ht="15" customHeight="1">
      <c r="B9" s="47">
        <v>232</v>
      </c>
      <c r="C9" s="48" t="str">
        <f>TEXT($B$1,"00")&amp;"."&amp;TEXT($B9,"000")&amp;"."&amp;TEXT('Campus Selector'!$G$6,"00")</f>
        <v>19.232.25</v>
      </c>
      <c r="D9" s="526"/>
      <c r="E9" s="76" t="s">
        <v>92</v>
      </c>
      <c r="F9" s="87">
        <v>36138</v>
      </c>
      <c r="G9" s="87">
        <v>37339</v>
      </c>
      <c r="H9" s="87">
        <v>37171</v>
      </c>
      <c r="I9" s="87">
        <v>37171</v>
      </c>
      <c r="J9" s="87">
        <v>38321</v>
      </c>
      <c r="K9" s="87">
        <v>38616</v>
      </c>
      <c r="L9" s="72">
        <f>IF(ISERROR((+K9-F9)/F9),"-",(+K9-F9)/F9)</f>
        <v>6.857047982732857E-2</v>
      </c>
      <c r="M9" s="360" t="s">
        <v>327</v>
      </c>
      <c r="N9" s="360" t="s">
        <v>327</v>
      </c>
    </row>
    <row r="10" spans="1:22" ht="15" customHeight="1">
      <c r="B10" s="47">
        <v>229</v>
      </c>
      <c r="C10" s="48" t="str">
        <f>TEXT($B$1,"00")&amp;"."&amp;TEXT($B10,"000")&amp;"."&amp;TEXT('Campus Selector'!$G$6,"00")</f>
        <v>19.229.25</v>
      </c>
      <c r="D10" s="526"/>
      <c r="E10" s="76" t="s">
        <v>301</v>
      </c>
      <c r="F10" s="230">
        <v>1542</v>
      </c>
      <c r="G10" s="230">
        <v>1754</v>
      </c>
      <c r="H10" s="230">
        <v>1906</v>
      </c>
      <c r="I10" s="230">
        <v>1936</v>
      </c>
      <c r="J10" s="230">
        <v>1091</v>
      </c>
      <c r="K10" s="230">
        <v>1040</v>
      </c>
      <c r="L10" s="394">
        <f>IF(ISERROR((+K10-F10)/F10),"-",(+K10-F10)/F10)</f>
        <v>-0.32555123216601817</v>
      </c>
      <c r="M10" s="360" t="s">
        <v>327</v>
      </c>
      <c r="N10" s="360" t="s">
        <v>327</v>
      </c>
    </row>
    <row r="11" spans="1:22" ht="7.5" customHeight="1">
      <c r="B11" s="47"/>
      <c r="C11" s="48"/>
      <c r="D11" s="526"/>
      <c r="E11" s="104"/>
      <c r="F11" s="102"/>
      <c r="G11" s="102"/>
      <c r="H11" s="102"/>
      <c r="I11" s="102"/>
      <c r="J11" s="102"/>
      <c r="K11" s="102"/>
      <c r="L11" s="103"/>
      <c r="M11" s="236"/>
      <c r="N11" s="236"/>
    </row>
    <row r="12" spans="1:22" s="290" customFormat="1" ht="15" customHeight="1">
      <c r="A12" s="159"/>
      <c r="B12" s="47">
        <v>231</v>
      </c>
      <c r="C12" s="48" t="str">
        <f>TEXT($B$1,"00")&amp;"."&amp;TEXT($B12,"000")&amp;"."&amp;TEXT('Campus Selector'!$G$6,"00")</f>
        <v>19.231.25</v>
      </c>
      <c r="D12" s="526"/>
      <c r="E12" s="94" t="s">
        <v>365</v>
      </c>
      <c r="F12" s="358">
        <v>4.2668999999999999E-2</v>
      </c>
      <c r="G12" s="358">
        <v>4.6975000000000003E-2</v>
      </c>
      <c r="H12" s="358">
        <v>5.1276000000000002E-2</v>
      </c>
      <c r="I12" s="358">
        <v>5.21E-2</v>
      </c>
      <c r="J12" s="358">
        <v>2.8500000000000001E-2</v>
      </c>
      <c r="K12" s="358">
        <v>2.693184172363787E-2</v>
      </c>
      <c r="L12" s="274">
        <f>IF(ISERROR((+K12-F12)/F12),"-",(+K12-F12)/F12)</f>
        <v>-0.36881947728707326</v>
      </c>
      <c r="M12" s="747">
        <v>3.3000000000000002E-2</v>
      </c>
      <c r="N12" s="361">
        <v>0.04</v>
      </c>
    </row>
    <row r="13" spans="1:22" ht="15" customHeight="1">
      <c r="B13" s="47">
        <v>231</v>
      </c>
      <c r="C13" s="48" t="str">
        <f>TEXT($B$1,"00")&amp;"."&amp;TEXT($B13,"000")&amp;"."&amp;TEXT('Campus Selector'!$J$9,"00")</f>
        <v>19.231.90</v>
      </c>
      <c r="D13" s="526"/>
      <c r="E13" s="312" t="s">
        <v>292</v>
      </c>
      <c r="F13" s="359">
        <v>5.0757047514692698E-2</v>
      </c>
      <c r="G13" s="359">
        <v>4.0812612406862882E-2</v>
      </c>
      <c r="H13" s="359">
        <v>3.7190053386578305E-2</v>
      </c>
      <c r="I13" s="359">
        <v>3.4989702467025985E-2</v>
      </c>
      <c r="J13" s="359">
        <v>3.0707038626313118E-2</v>
      </c>
      <c r="K13" s="359">
        <v>2.7262225112237911E-2</v>
      </c>
      <c r="L13" s="255" t="s">
        <v>327</v>
      </c>
      <c r="M13" s="560" t="s">
        <v>327</v>
      </c>
      <c r="N13" s="560" t="s">
        <v>327</v>
      </c>
    </row>
    <row r="14" spans="1:22" ht="15" customHeight="1">
      <c r="B14" s="47"/>
      <c r="C14" s="48"/>
      <c r="D14" s="526"/>
      <c r="E14" s="232"/>
      <c r="F14" s="233"/>
      <c r="G14" s="233"/>
      <c r="H14" s="233"/>
      <c r="I14" s="233"/>
      <c r="J14" s="233"/>
      <c r="K14" s="233"/>
      <c r="L14" s="165"/>
      <c r="M14" s="165"/>
      <c r="N14" s="165"/>
    </row>
    <row r="15" spans="1:22" ht="15" customHeight="1">
      <c r="B15" s="47"/>
      <c r="C15" s="48"/>
      <c r="D15" s="526"/>
      <c r="E15" s="817" t="s">
        <v>206</v>
      </c>
      <c r="F15" s="818"/>
      <c r="G15" s="818"/>
      <c r="H15" s="818"/>
      <c r="I15" s="818"/>
      <c r="J15" s="818"/>
      <c r="K15" s="818"/>
      <c r="L15" s="818"/>
      <c r="M15" s="818"/>
      <c r="N15" s="819"/>
    </row>
    <row r="16" spans="1:22" ht="15" customHeight="1">
      <c r="B16" s="47">
        <v>233</v>
      </c>
      <c r="C16" s="48" t="str">
        <f>TEXT($B$1,"00")&amp;"."&amp;TEXT($B16,"000")&amp;"."&amp;TEXT('Campus Selector'!$G$6,"00")</f>
        <v>19.233.25</v>
      </c>
      <c r="D16" s="526"/>
      <c r="E16" s="76" t="s">
        <v>255</v>
      </c>
      <c r="F16" s="224">
        <v>1.1487510000000001</v>
      </c>
      <c r="G16" s="224">
        <v>0.82609500000000002</v>
      </c>
      <c r="H16" s="224">
        <v>0.90526300000000004</v>
      </c>
      <c r="I16" s="224">
        <v>0.65834700000000002</v>
      </c>
      <c r="J16" s="224">
        <v>1.3655060000000001</v>
      </c>
      <c r="K16" s="224">
        <v>1.0515129999999999</v>
      </c>
      <c r="L16" s="77">
        <f>(+K16-F16)/F16</f>
        <v>-8.4646716303185071E-2</v>
      </c>
      <c r="M16" s="748">
        <v>1.3</v>
      </c>
      <c r="N16" s="362">
        <v>1.5</v>
      </c>
    </row>
    <row r="17" spans="2:15" ht="6.95" customHeight="1">
      <c r="D17" s="526"/>
      <c r="E17" s="827"/>
      <c r="F17" s="827"/>
      <c r="G17" s="827"/>
      <c r="H17" s="827"/>
      <c r="I17" s="827"/>
      <c r="J17" s="827"/>
      <c r="K17" s="827"/>
      <c r="L17" s="827"/>
      <c r="M17" s="704"/>
      <c r="N17" s="118"/>
      <c r="O17" s="118"/>
    </row>
    <row r="18" spans="2:15" ht="15" customHeight="1">
      <c r="D18" s="526"/>
      <c r="E18" s="125" t="s">
        <v>505</v>
      </c>
      <c r="F18" s="125"/>
      <c r="G18" s="125"/>
      <c r="H18" s="125"/>
      <c r="I18" s="125"/>
      <c r="J18" s="125"/>
      <c r="K18" s="125"/>
      <c r="L18" s="125"/>
      <c r="M18" s="118"/>
      <c r="N18" s="118"/>
    </row>
    <row r="19" spans="2:15" ht="15" customHeight="1">
      <c r="D19" s="526"/>
      <c r="E19" s="118"/>
      <c r="F19" s="126"/>
      <c r="G19" s="126"/>
      <c r="H19" s="127"/>
      <c r="I19" s="126"/>
      <c r="J19" s="126"/>
      <c r="K19" s="126"/>
      <c r="L19" s="127"/>
      <c r="M19" s="118"/>
      <c r="N19" s="118"/>
    </row>
    <row r="20" spans="2:15" ht="15" customHeight="1">
      <c r="D20" s="526"/>
      <c r="E20" s="121" t="s">
        <v>260</v>
      </c>
      <c r="F20" s="121"/>
      <c r="G20" s="122"/>
      <c r="H20" s="123"/>
      <c r="I20" s="122"/>
      <c r="J20" s="122"/>
      <c r="K20" s="122"/>
      <c r="L20" s="123"/>
      <c r="M20" s="124"/>
      <c r="N20" s="124"/>
    </row>
    <row r="21" spans="2:15" ht="15" customHeight="1">
      <c r="D21" s="526"/>
      <c r="E21" s="814"/>
      <c r="F21" s="814"/>
      <c r="G21" s="814"/>
      <c r="H21" s="814"/>
      <c r="I21" s="814"/>
      <c r="J21" s="814"/>
      <c r="K21" s="814"/>
      <c r="L21" s="814"/>
      <c r="M21" s="814"/>
      <c r="N21" s="814"/>
    </row>
    <row r="22" spans="2:15" ht="15" customHeight="1">
      <c r="B22" s="47"/>
      <c r="C22" s="48"/>
      <c r="D22" s="526"/>
      <c r="E22" s="814"/>
      <c r="F22" s="814"/>
      <c r="G22" s="814"/>
      <c r="H22" s="814"/>
      <c r="I22" s="814"/>
      <c r="J22" s="814"/>
      <c r="K22" s="814"/>
      <c r="L22" s="814"/>
      <c r="M22" s="814"/>
      <c r="N22" s="814"/>
    </row>
    <row r="23" spans="2:15" ht="15" customHeight="1">
      <c r="D23" s="526"/>
    </row>
    <row r="24" spans="2:15" ht="15" customHeight="1">
      <c r="D24" s="526"/>
    </row>
    <row r="25" spans="2:15" ht="15" customHeight="1">
      <c r="D25" s="526"/>
    </row>
    <row r="26" spans="2:15" ht="15" customHeight="1">
      <c r="D26" s="526"/>
    </row>
    <row r="27" spans="2:15" ht="15" customHeight="1">
      <c r="D27" s="526"/>
    </row>
    <row r="28" spans="2:15" ht="15" customHeight="1">
      <c r="D28" s="526"/>
    </row>
    <row r="29" spans="2:15" ht="15" customHeight="1">
      <c r="D29" s="526"/>
    </row>
    <row r="30" spans="2:15" ht="15" customHeight="1">
      <c r="D30" s="526"/>
    </row>
    <row r="31" spans="2:15" ht="15" customHeight="1">
      <c r="D31" s="526"/>
    </row>
    <row r="32" spans="2:15" ht="15" customHeight="1">
      <c r="D32" s="526"/>
    </row>
    <row r="33" spans="4:4" ht="15" customHeight="1">
      <c r="D33" s="526"/>
    </row>
    <row r="34" spans="4:4" ht="15" customHeight="1">
      <c r="D34" s="526"/>
    </row>
    <row r="35" spans="4:4" ht="15" customHeight="1">
      <c r="D35" s="526"/>
    </row>
    <row r="36" spans="4:4" ht="15" customHeight="1">
      <c r="D36" s="526"/>
    </row>
    <row r="37" spans="4:4" ht="15" customHeight="1">
      <c r="D37" s="526"/>
    </row>
    <row r="38" spans="4:4" ht="15" customHeight="1">
      <c r="D38" s="526"/>
    </row>
    <row r="39" spans="4:4" ht="15" customHeight="1">
      <c r="D39" s="526"/>
    </row>
    <row r="40" spans="4:4" ht="15" customHeight="1">
      <c r="D40" s="526"/>
    </row>
    <row r="41" spans="4:4" ht="15" customHeight="1">
      <c r="D41" s="526"/>
    </row>
    <row r="42" spans="4:4" ht="15" customHeight="1">
      <c r="D42" s="526"/>
    </row>
    <row r="43" spans="4:4" ht="15" customHeight="1">
      <c r="D43" s="526"/>
    </row>
    <row r="44" spans="4:4" ht="15" customHeight="1">
      <c r="D44" s="526"/>
    </row>
    <row r="45" spans="4:4" ht="15" customHeight="1">
      <c r="D45" s="526"/>
    </row>
    <row r="46" spans="4:4" ht="15" customHeight="1">
      <c r="D46" s="526"/>
    </row>
    <row r="47" spans="4:4" ht="15" customHeight="1">
      <c r="D47" s="526"/>
    </row>
    <row r="48" spans="4:4" ht="15" customHeight="1">
      <c r="D48" s="526"/>
    </row>
    <row r="49" spans="4:4" ht="15" customHeight="1">
      <c r="D49" s="526"/>
    </row>
    <row r="50" spans="4:4" ht="15" customHeight="1">
      <c r="D50" s="526"/>
    </row>
    <row r="51" spans="4:4" ht="15" customHeight="1">
      <c r="D51" s="526"/>
    </row>
    <row r="52" spans="4:4" ht="15" customHeight="1">
      <c r="D52" s="526"/>
    </row>
  </sheetData>
  <mergeCells count="7">
    <mergeCell ref="R5:V5"/>
    <mergeCell ref="E4:N4"/>
    <mergeCell ref="E5:N5"/>
    <mergeCell ref="E8:N8"/>
    <mergeCell ref="E21:N22"/>
    <mergeCell ref="E15:N15"/>
    <mergeCell ref="E17:L17"/>
  </mergeCells>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N227"/>
  <sheetViews>
    <sheetView showGridLines="0" zoomScale="50" zoomScaleNormal="50" workbookViewId="0"/>
  </sheetViews>
  <sheetFormatPr defaultRowHeight="12.75"/>
  <cols>
    <col min="3" max="3" width="20.28515625" style="633" customWidth="1"/>
    <col min="4" max="4" width="10.28515625" style="633" customWidth="1"/>
    <col min="5" max="5" width="20.42578125" style="633" customWidth="1"/>
    <col min="6" max="6" width="9.28515625" style="633" customWidth="1"/>
    <col min="7" max="7" width="7.28515625" style="633" customWidth="1"/>
    <col min="8" max="8" width="13.28515625" style="633" customWidth="1"/>
    <col min="9" max="9" width="33.7109375" style="633" customWidth="1"/>
    <col min="10" max="11" width="12.5703125" style="633" customWidth="1"/>
    <col min="12" max="14" width="17.28515625" style="633" customWidth="1"/>
  </cols>
  <sheetData>
    <row r="1" spans="1:14">
      <c r="L1" s="633" t="e">
        <f>+'Time Credits to Degree'!#REF!</f>
        <v>#REF!</v>
      </c>
      <c r="M1" s="633" t="str">
        <f>+'Time Credits to Degree'!M7</f>
        <v>Plan
2018-19</v>
      </c>
      <c r="N1" s="633" t="str">
        <f>+'Time Credits to Degree'!N7</f>
        <v>Plan
2020-21</v>
      </c>
    </row>
    <row r="2" spans="1:14">
      <c r="B2" s="2" t="s">
        <v>647</v>
      </c>
      <c r="C2" s="634" t="s">
        <v>601</v>
      </c>
      <c r="D2" s="634" t="s">
        <v>675</v>
      </c>
      <c r="E2" s="634" t="s">
        <v>648</v>
      </c>
      <c r="F2" s="634" t="s">
        <v>697</v>
      </c>
      <c r="G2" s="634" t="s">
        <v>676</v>
      </c>
      <c r="H2" s="634" t="s">
        <v>677</v>
      </c>
      <c r="I2" s="634" t="s">
        <v>674</v>
      </c>
      <c r="J2" s="2" t="s">
        <v>698</v>
      </c>
      <c r="K2" s="2"/>
      <c r="L2" s="633" t="s">
        <v>46</v>
      </c>
      <c r="M2" s="633" t="s">
        <v>231</v>
      </c>
      <c r="N2" s="633" t="s">
        <v>54</v>
      </c>
    </row>
    <row r="3" spans="1:14">
      <c r="B3" s="2"/>
      <c r="C3" s="634"/>
      <c r="D3" s="634"/>
      <c r="E3" s="634"/>
      <c r="F3" s="634"/>
      <c r="G3" s="634"/>
      <c r="H3" s="634"/>
      <c r="I3" s="634"/>
      <c r="J3" s="634"/>
      <c r="K3" s="634"/>
    </row>
    <row r="4" spans="1:14">
      <c r="A4">
        <v>1</v>
      </c>
      <c r="B4">
        <v>6</v>
      </c>
      <c r="C4" s="633" t="str">
        <f>+'Campus Selector'!$G$3</f>
        <v>Canton</v>
      </c>
      <c r="D4" s="634" t="s">
        <v>678</v>
      </c>
      <c r="E4" s="634" t="s">
        <v>251</v>
      </c>
      <c r="F4" s="634">
        <v>1</v>
      </c>
      <c r="G4" s="633">
        <f>+'Enrollment 5YR'!B16</f>
        <v>78</v>
      </c>
      <c r="H4" s="633" t="str">
        <f>+'Enrollment 5YR'!C16</f>
        <v>04.078.25</v>
      </c>
      <c r="I4" s="633" t="str">
        <f>+'Enrollment 5YR'!E16</f>
        <v>Full-time First-time</v>
      </c>
      <c r="J4" s="661">
        <f>+'Enrollment 5YR'!K16</f>
        <v>726</v>
      </c>
      <c r="K4" s="661"/>
      <c r="L4" s="635"/>
      <c r="M4" s="635">
        <f>+'Enrollment 5YR'!M16</f>
        <v>743</v>
      </c>
      <c r="N4" s="635">
        <f>+'Enrollment 5YR'!N16</f>
        <v>800</v>
      </c>
    </row>
    <row r="5" spans="1:14">
      <c r="A5">
        <v>2</v>
      </c>
      <c r="B5">
        <v>7</v>
      </c>
      <c r="C5" s="633" t="str">
        <f>+'Campus Selector'!$G$3</f>
        <v>Canton</v>
      </c>
      <c r="D5" s="634" t="s">
        <v>678</v>
      </c>
      <c r="E5" s="634" t="s">
        <v>251</v>
      </c>
      <c r="F5" s="634">
        <v>2</v>
      </c>
      <c r="G5" s="633">
        <f>+'Enrollment 5YR'!B17</f>
        <v>79</v>
      </c>
      <c r="H5" s="633" t="str">
        <f>+'Enrollment 5YR'!C17</f>
        <v>04.079.25</v>
      </c>
      <c r="I5" s="633" t="str">
        <f>+'Enrollment 5YR'!E17</f>
        <v>Full-time Transfers</v>
      </c>
      <c r="J5" s="661">
        <f>+'Enrollment 5YR'!K17</f>
        <v>248</v>
      </c>
      <c r="K5" s="661"/>
      <c r="L5" s="635"/>
      <c r="M5" s="635">
        <f>+'Enrollment 5YR'!M17</f>
        <v>283</v>
      </c>
      <c r="N5" s="635">
        <f>+'Enrollment 5YR'!N17</f>
        <v>306</v>
      </c>
    </row>
    <row r="6" spans="1:14">
      <c r="A6">
        <v>3</v>
      </c>
      <c r="B6">
        <v>8</v>
      </c>
      <c r="C6" s="633" t="str">
        <f>+'Campus Selector'!$G$3</f>
        <v>Canton</v>
      </c>
      <c r="D6" s="634" t="s">
        <v>678</v>
      </c>
      <c r="E6" s="634" t="s">
        <v>251</v>
      </c>
      <c r="F6" s="634">
        <v>3</v>
      </c>
      <c r="G6" s="633">
        <f>+'Enrollment 5YR'!B19</f>
        <v>80</v>
      </c>
      <c r="H6" s="633" t="str">
        <f>+'Enrollment 5YR'!C19</f>
        <v>04.080.25</v>
      </c>
      <c r="I6" s="633" t="str">
        <f>+'Enrollment 5YR'!E19</f>
        <v>Full-time Continuing &amp; Returning</v>
      </c>
      <c r="J6" s="661">
        <f>+'Enrollment 5YR'!K19</f>
        <v>1707</v>
      </c>
      <c r="K6" s="661"/>
      <c r="L6" s="635"/>
      <c r="M6" s="635">
        <f>+'Enrollment 5YR'!M19</f>
        <v>0</v>
      </c>
      <c r="N6" s="635">
        <f>+'Enrollment 5YR'!N19</f>
        <v>0</v>
      </c>
    </row>
    <row r="7" spans="1:14">
      <c r="A7">
        <v>4</v>
      </c>
      <c r="B7">
        <v>4</v>
      </c>
      <c r="C7" s="633" t="str">
        <f>+'Campus Selector'!$G$3</f>
        <v>Canton</v>
      </c>
      <c r="D7" s="634" t="s">
        <v>678</v>
      </c>
      <c r="E7" s="634" t="s">
        <v>251</v>
      </c>
      <c r="F7" s="634">
        <v>4</v>
      </c>
      <c r="G7" s="633">
        <f>+'Enrollment 5YR'!B20</f>
        <v>76</v>
      </c>
      <c r="H7" s="633" t="str">
        <f>+'Enrollment 5YR'!C20</f>
        <v>04.076.25</v>
      </c>
      <c r="I7" s="633" t="str">
        <f>+'Enrollment 5YR'!E20</f>
        <v>Undergraduate Transition</v>
      </c>
      <c r="J7" s="661">
        <f>+'Enrollment 5YR'!K20</f>
        <v>112</v>
      </c>
      <c r="K7" s="661"/>
      <c r="L7" s="635"/>
      <c r="M7" s="635">
        <f>+'Enrollment 5YR'!M20</f>
        <v>0</v>
      </c>
      <c r="N7" s="635">
        <f>+'Enrollment 5YR'!N20</f>
        <v>0</v>
      </c>
    </row>
    <row r="8" spans="1:14">
      <c r="A8">
        <v>5</v>
      </c>
      <c r="B8">
        <v>14</v>
      </c>
      <c r="C8" s="633" t="str">
        <f>+'Campus Selector'!$G$3</f>
        <v>Canton</v>
      </c>
      <c r="D8" s="634" t="s">
        <v>678</v>
      </c>
      <c r="E8" s="634" t="s">
        <v>251</v>
      </c>
      <c r="F8" s="634">
        <v>5</v>
      </c>
      <c r="G8" s="633">
        <f>+'Enrollment 5YR'!B22</f>
        <v>88</v>
      </c>
      <c r="H8" s="633" t="str">
        <f>+'Enrollment 5YR'!C22</f>
        <v>04.088.25</v>
      </c>
      <c r="I8" s="633" t="str">
        <f>+'Enrollment 5YR'!E22</f>
        <v>Full-time Concurrently Enrolled in HS</v>
      </c>
      <c r="J8" s="661">
        <f>+'Enrollment 5YR'!K22</f>
        <v>0</v>
      </c>
      <c r="K8" s="661"/>
      <c r="L8" s="635"/>
      <c r="M8" s="635">
        <f>+'Enrollment 5YR'!M22</f>
        <v>0</v>
      </c>
      <c r="N8" s="635">
        <f>+'Enrollment 5YR'!N22</f>
        <v>0</v>
      </c>
    </row>
    <row r="9" spans="1:14">
      <c r="A9">
        <v>6</v>
      </c>
      <c r="B9">
        <v>5</v>
      </c>
      <c r="C9" s="633" t="str">
        <f>+'Campus Selector'!$G$3</f>
        <v>Canton</v>
      </c>
      <c r="D9" s="634" t="s">
        <v>678</v>
      </c>
      <c r="E9" s="634" t="s">
        <v>251</v>
      </c>
      <c r="F9" s="634">
        <v>6</v>
      </c>
      <c r="G9" s="633">
        <f>+'Enrollment 5YR'!B23</f>
        <v>77</v>
      </c>
      <c r="H9" s="633" t="str">
        <f>+'Enrollment 5YR'!C23</f>
        <v>04.077.25</v>
      </c>
      <c r="I9" s="633" t="str">
        <f>+'Enrollment 5YR'!E23</f>
        <v>Joint Program</v>
      </c>
      <c r="J9" s="661">
        <f>+'Enrollment 5YR'!K23</f>
        <v>0</v>
      </c>
      <c r="K9" s="661"/>
      <c r="L9" s="635"/>
      <c r="M9" s="635">
        <f>+'Enrollment 5YR'!M23</f>
        <v>0</v>
      </c>
      <c r="N9" s="635">
        <f>+'Enrollment 5YR'!N23</f>
        <v>0</v>
      </c>
    </row>
    <row r="10" spans="1:14">
      <c r="A10">
        <v>7</v>
      </c>
      <c r="B10">
        <v>3</v>
      </c>
      <c r="C10" s="633" t="str">
        <f>+'Campus Selector'!$G$3</f>
        <v>Canton</v>
      </c>
      <c r="D10" s="634" t="s">
        <v>678</v>
      </c>
      <c r="E10" s="634" t="s">
        <v>251</v>
      </c>
      <c r="F10" s="634">
        <v>7</v>
      </c>
      <c r="G10" s="633">
        <f>+'Enrollment 5YR'!B24</f>
        <v>75</v>
      </c>
      <c r="H10" s="633" t="str">
        <f>+'Enrollment 5YR'!C24</f>
        <v>04.075.25</v>
      </c>
      <c r="I10" s="633" t="str">
        <f>+'Enrollment 5YR'!E24</f>
        <v>Unknown</v>
      </c>
      <c r="J10" s="661">
        <f>+'Enrollment 5YR'!K24</f>
        <v>0</v>
      </c>
      <c r="K10" s="661"/>
      <c r="L10" s="635"/>
      <c r="M10" s="635">
        <f>+'Enrollment 5YR'!M24</f>
        <v>0</v>
      </c>
      <c r="N10" s="635">
        <f>+'Enrollment 5YR'!N24</f>
        <v>0</v>
      </c>
    </row>
    <row r="11" spans="1:14">
      <c r="A11">
        <v>8</v>
      </c>
      <c r="B11">
        <v>9</v>
      </c>
      <c r="C11" s="633" t="str">
        <f>+'Campus Selector'!$G$3</f>
        <v>Canton</v>
      </c>
      <c r="D11" s="634" t="s">
        <v>678</v>
      </c>
      <c r="E11" s="634" t="s">
        <v>251</v>
      </c>
      <c r="F11" s="634">
        <v>8</v>
      </c>
      <c r="G11" s="633">
        <f>+'Enrollment 5YR'!B25</f>
        <v>81</v>
      </c>
      <c r="H11" s="633" t="str">
        <f>+'Enrollment 5YR'!C25</f>
        <v>04.081.25</v>
      </c>
      <c r="I11" s="633" t="str">
        <f>+'Enrollment 5YR'!E25</f>
        <v>Part-time Undergraduates</v>
      </c>
      <c r="J11" s="661">
        <f>+'Enrollment 5YR'!K25</f>
        <v>489</v>
      </c>
      <c r="K11" s="661"/>
      <c r="L11" s="635"/>
      <c r="M11" s="635">
        <f>+'Enrollment 5YR'!M25</f>
        <v>720</v>
      </c>
      <c r="N11" s="635">
        <f>+'Enrollment 5YR'!N25</f>
        <v>798</v>
      </c>
    </row>
    <row r="12" spans="1:14">
      <c r="A12">
        <v>9</v>
      </c>
      <c r="B12">
        <v>10</v>
      </c>
      <c r="C12" s="633" t="str">
        <f>+'Campus Selector'!$G$3</f>
        <v>Canton</v>
      </c>
      <c r="D12" s="634" t="s">
        <v>678</v>
      </c>
      <c r="E12" s="634" t="s">
        <v>251</v>
      </c>
      <c r="F12" s="634">
        <v>9</v>
      </c>
      <c r="G12" s="633">
        <f>+'Enrollment 5YR'!B30</f>
        <v>82</v>
      </c>
      <c r="H12" s="633" t="str">
        <f>+'Enrollment 5YR'!C30</f>
        <v>04.082.25</v>
      </c>
      <c r="I12" s="633" t="str">
        <f>+'Enrollment 5YR'!E30</f>
        <v>Full-time New Graduates</v>
      </c>
      <c r="J12" s="661">
        <f>+'Enrollment 5YR'!K30</f>
        <v>0</v>
      </c>
      <c r="K12" s="661"/>
      <c r="L12" s="635"/>
      <c r="M12" s="635">
        <f>+'Enrollment 5YR'!M30</f>
        <v>0</v>
      </c>
      <c r="N12" s="635">
        <f>+'Enrollment 5YR'!N30</f>
        <v>0</v>
      </c>
    </row>
    <row r="13" spans="1:14">
      <c r="A13">
        <v>10</v>
      </c>
      <c r="B13">
        <v>11</v>
      </c>
      <c r="C13" s="633" t="str">
        <f>+'Campus Selector'!$G$3</f>
        <v>Canton</v>
      </c>
      <c r="D13" s="634" t="s">
        <v>678</v>
      </c>
      <c r="E13" s="634" t="s">
        <v>251</v>
      </c>
      <c r="F13" s="634">
        <v>10</v>
      </c>
      <c r="G13" s="633">
        <f>+'Enrollment 5YR'!B31</f>
        <v>83</v>
      </c>
      <c r="H13" s="633" t="str">
        <f>+'Enrollment 5YR'!C31</f>
        <v>04.083.25</v>
      </c>
      <c r="I13" s="633" t="str">
        <f>+'Enrollment 5YR'!E31</f>
        <v>Full-time Continuing &amp; Returning</v>
      </c>
      <c r="J13" s="661">
        <f>+'Enrollment 5YR'!K31</f>
        <v>0</v>
      </c>
      <c r="K13" s="661"/>
      <c r="L13" s="635"/>
      <c r="M13" s="635">
        <f>+'Enrollment 5YR'!M31</f>
        <v>0</v>
      </c>
      <c r="N13" s="635">
        <f>+'Enrollment 5YR'!N31</f>
        <v>0</v>
      </c>
    </row>
    <row r="14" spans="1:14">
      <c r="A14">
        <v>11</v>
      </c>
      <c r="B14">
        <v>2</v>
      </c>
      <c r="C14" s="633" t="str">
        <f>+'Campus Selector'!$G$3</f>
        <v>Canton</v>
      </c>
      <c r="D14" s="634" t="s">
        <v>678</v>
      </c>
      <c r="E14" s="634" t="s">
        <v>251</v>
      </c>
      <c r="F14" s="634">
        <v>11</v>
      </c>
      <c r="G14" s="633">
        <f>+'Enrollment 5YR'!B33</f>
        <v>74</v>
      </c>
      <c r="H14" s="633" t="str">
        <f>+'Enrollment 5YR'!C33</f>
        <v>04.074.25</v>
      </c>
      <c r="I14" s="633" t="str">
        <f>+'Enrollment 5YR'!E33</f>
        <v>Joint Program</v>
      </c>
      <c r="J14" s="661">
        <f>+'Enrollment 5YR'!K33</f>
        <v>0</v>
      </c>
      <c r="K14" s="661"/>
      <c r="L14" s="635"/>
      <c r="M14" s="635">
        <f>+'Enrollment 5YR'!M33</f>
        <v>0</v>
      </c>
      <c r="N14" s="635">
        <f>+'Enrollment 5YR'!N33</f>
        <v>0</v>
      </c>
    </row>
    <row r="15" spans="1:14">
      <c r="A15">
        <v>12</v>
      </c>
      <c r="B15">
        <v>1</v>
      </c>
      <c r="C15" s="633" t="str">
        <f>+'Campus Selector'!$G$3</f>
        <v>Canton</v>
      </c>
      <c r="D15" s="634" t="s">
        <v>678</v>
      </c>
      <c r="E15" s="634" t="s">
        <v>251</v>
      </c>
      <c r="F15" s="634">
        <v>12</v>
      </c>
      <c r="G15" s="633">
        <f>+'Enrollment 5YR'!B34</f>
        <v>73</v>
      </c>
      <c r="H15" s="633" t="str">
        <f>+'Enrollment 5YR'!C34</f>
        <v>04.073.25</v>
      </c>
      <c r="I15" s="633" t="str">
        <f>+'Enrollment 5YR'!E34</f>
        <v>Unknown</v>
      </c>
      <c r="J15" s="661">
        <f>+'Enrollment 5YR'!K34</f>
        <v>0</v>
      </c>
      <c r="K15" s="661"/>
      <c r="L15" s="635" t="str">
        <f>+'Enrollment 5YR'!L34</f>
        <v>-</v>
      </c>
      <c r="M15" s="635">
        <f>+'Enrollment 5YR'!M34</f>
        <v>0</v>
      </c>
      <c r="N15" s="635">
        <f>+'Enrollment 5YR'!N34</f>
        <v>0</v>
      </c>
    </row>
    <row r="16" spans="1:14">
      <c r="A16">
        <v>13</v>
      </c>
      <c r="B16">
        <v>12</v>
      </c>
      <c r="C16" s="633" t="str">
        <f>+'Campus Selector'!$G$3</f>
        <v>Canton</v>
      </c>
      <c r="D16" s="634" t="s">
        <v>678</v>
      </c>
      <c r="E16" s="634" t="s">
        <v>251</v>
      </c>
      <c r="F16" s="634">
        <v>13</v>
      </c>
      <c r="G16" s="633">
        <f>+'Enrollment 5YR'!B35</f>
        <v>84</v>
      </c>
      <c r="H16" s="633" t="str">
        <f>+'Enrollment 5YR'!C35</f>
        <v>04.084.25</v>
      </c>
      <c r="I16" s="633" t="str">
        <f>+'Enrollment 5YR'!E35</f>
        <v>Part-time Graduates</v>
      </c>
      <c r="J16" s="661">
        <f>+'Enrollment 5YR'!K35</f>
        <v>0</v>
      </c>
      <c r="K16" s="661"/>
      <c r="L16" s="635"/>
      <c r="M16" s="635">
        <f>+'Enrollment 5YR'!M35</f>
        <v>0</v>
      </c>
      <c r="N16" s="635">
        <f>+'Enrollment 5YR'!N35</f>
        <v>0</v>
      </c>
    </row>
    <row r="17" spans="1:14">
      <c r="A17">
        <v>14</v>
      </c>
      <c r="B17">
        <v>15</v>
      </c>
      <c r="C17" s="633" t="str">
        <f>+'Campus Selector'!$G$3</f>
        <v>Canton</v>
      </c>
      <c r="D17" s="634" t="s">
        <v>678</v>
      </c>
      <c r="E17" s="634" t="s">
        <v>251</v>
      </c>
      <c r="F17" s="634">
        <v>14</v>
      </c>
      <c r="G17" s="633">
        <f>+'Enrollment 5YR'!B38</f>
        <v>89</v>
      </c>
      <c r="H17" s="633" t="str">
        <f>+'Enrollment 5YR'!C38</f>
        <v>05.089.25</v>
      </c>
      <c r="I17" s="633" t="str">
        <f>+'Enrollment 5YR'!E38</f>
        <v>Masters Programs</v>
      </c>
      <c r="J17" s="661">
        <f>+'Enrollment 5YR'!K38</f>
        <v>0</v>
      </c>
      <c r="K17" s="661"/>
      <c r="L17" s="635"/>
      <c r="M17" s="635">
        <f>+'Enrollment 5YR'!M38</f>
        <v>0</v>
      </c>
      <c r="N17" s="635">
        <f>+'Enrollment 5YR'!N38</f>
        <v>0</v>
      </c>
    </row>
    <row r="18" spans="1:14">
      <c r="A18">
        <v>15</v>
      </c>
      <c r="B18">
        <v>16</v>
      </c>
      <c r="C18" s="633" t="str">
        <f>+'Campus Selector'!$G$3</f>
        <v>Canton</v>
      </c>
      <c r="D18" s="634" t="s">
        <v>678</v>
      </c>
      <c r="E18" s="634" t="s">
        <v>251</v>
      </c>
      <c r="F18" s="634">
        <v>15</v>
      </c>
      <c r="G18" s="633">
        <f>+'Enrollment 5YR'!B39</f>
        <v>90</v>
      </c>
      <c r="H18" s="633" t="str">
        <f>+'Enrollment 5YR'!C39</f>
        <v>05.090.25</v>
      </c>
      <c r="I18" s="633" t="str">
        <f>+'Enrollment 5YR'!E39</f>
        <v>Graduate Certificates</v>
      </c>
      <c r="J18" s="661">
        <f>+'Enrollment 5YR'!K39</f>
        <v>0</v>
      </c>
      <c r="K18" s="661"/>
      <c r="L18" s="635"/>
      <c r="M18" s="635">
        <f>+'Enrollment 5YR'!M39</f>
        <v>0</v>
      </c>
      <c r="N18" s="635">
        <f>+'Enrollment 5YR'!N39</f>
        <v>0</v>
      </c>
    </row>
    <row r="19" spans="1:14">
      <c r="A19">
        <v>16</v>
      </c>
      <c r="B19">
        <v>17</v>
      </c>
      <c r="C19" s="633" t="str">
        <f>+'Campus Selector'!$G$3</f>
        <v>Canton</v>
      </c>
      <c r="D19" s="634" t="s">
        <v>678</v>
      </c>
      <c r="E19" s="634" t="s">
        <v>251</v>
      </c>
      <c r="F19" s="634">
        <v>16</v>
      </c>
      <c r="G19" s="633">
        <f>+'Enrollment 5YR'!B40</f>
        <v>91</v>
      </c>
      <c r="H19" s="633" t="str">
        <f>+'Enrollment 5YR'!C40</f>
        <v>05.091.25</v>
      </c>
      <c r="I19" s="633" t="str">
        <f>+'Enrollment 5YR'!E40</f>
        <v>Doctoral Programs</v>
      </c>
      <c r="J19" s="661">
        <f>+'Enrollment 5YR'!K40</f>
        <v>0</v>
      </c>
      <c r="K19" s="661"/>
      <c r="L19" s="635"/>
      <c r="M19" s="635">
        <f>+'Enrollment 5YR'!M40</f>
        <v>0</v>
      </c>
      <c r="N19" s="635">
        <f>+'Enrollment 5YR'!N40</f>
        <v>0</v>
      </c>
    </row>
    <row r="20" spans="1:14">
      <c r="A20">
        <v>17</v>
      </c>
      <c r="B20">
        <v>19</v>
      </c>
      <c r="C20" s="633" t="str">
        <f>+'Campus Selector'!$G$3</f>
        <v>Canton</v>
      </c>
      <c r="D20" s="634" t="s">
        <v>678</v>
      </c>
      <c r="E20" s="634" t="s">
        <v>251</v>
      </c>
      <c r="F20" s="634">
        <v>17</v>
      </c>
      <c r="G20" s="633">
        <f>+'Enrollment 5YR'!B41</f>
        <v>94</v>
      </c>
      <c r="H20" s="633" t="str">
        <f>+'Enrollment 5YR'!C41</f>
        <v>05.094.25</v>
      </c>
      <c r="I20" s="633" t="str">
        <f>+'Enrollment 5YR'!E41</f>
        <v>First-Professional</v>
      </c>
      <c r="J20" s="661">
        <f>+'Enrollment 5YR'!K41</f>
        <v>0</v>
      </c>
      <c r="K20" s="661"/>
      <c r="L20" s="635"/>
      <c r="M20" s="635">
        <f>+'Enrollment 5YR'!M41</f>
        <v>0</v>
      </c>
      <c r="N20" s="635">
        <f>+'Enrollment 5YR'!N41</f>
        <v>0</v>
      </c>
    </row>
    <row r="21" spans="1:14">
      <c r="A21">
        <v>18</v>
      </c>
      <c r="B21">
        <v>20</v>
      </c>
      <c r="C21" s="633" t="str">
        <f>+'Campus Selector'!$G$3</f>
        <v>Canton</v>
      </c>
      <c r="D21" s="634" t="s">
        <v>678</v>
      </c>
      <c r="E21" s="634" t="s">
        <v>251</v>
      </c>
      <c r="F21" s="634">
        <v>18</v>
      </c>
      <c r="G21" s="633">
        <f>+'Enrollment 5YR'!B42</f>
        <v>95</v>
      </c>
      <c r="H21" s="633" t="str">
        <f>+'Enrollment 5YR'!C42</f>
        <v>05.095.25</v>
      </c>
      <c r="I21" s="633" t="str">
        <f>+'Enrollment 5YR'!E42</f>
        <v>Non-Degree Seeking</v>
      </c>
      <c r="J21" s="661">
        <f>+'Enrollment 5YR'!K42</f>
        <v>0</v>
      </c>
      <c r="K21" s="661"/>
      <c r="L21" s="635"/>
      <c r="M21" s="635">
        <f>+'Enrollment 5YR'!M42</f>
        <v>0</v>
      </c>
      <c r="N21" s="635">
        <f>+'Enrollment 5YR'!N42</f>
        <v>0</v>
      </c>
    </row>
    <row r="22" spans="1:14">
      <c r="A22">
        <v>19</v>
      </c>
      <c r="B22">
        <v>13</v>
      </c>
      <c r="C22" s="633" t="str">
        <f>+'Campus Selector'!$G$3</f>
        <v>Canton</v>
      </c>
      <c r="D22" s="634" t="s">
        <v>678</v>
      </c>
      <c r="E22" s="634" t="s">
        <v>251</v>
      </c>
      <c r="F22" s="634">
        <v>19</v>
      </c>
      <c r="G22" s="633">
        <f>+'Enrollment 5YR'!B46</f>
        <v>87</v>
      </c>
      <c r="H22" s="633" t="str">
        <f>+'Enrollment 5YR'!C46</f>
        <v>04.087.25</v>
      </c>
      <c r="I22" s="633" t="str">
        <f>+'Enrollment 5YR'!E46</f>
        <v>Official AAFTE</v>
      </c>
      <c r="J22" s="661">
        <f>+'Enrollment 5YR'!K46</f>
        <v>2796.5740000000001</v>
      </c>
      <c r="K22" s="661"/>
      <c r="L22" s="635"/>
      <c r="M22" s="635" t="str">
        <f>+'Enrollment 5YR'!M46</f>
        <v>-</v>
      </c>
      <c r="N22" s="635" t="str">
        <f>+'Enrollment 5YR'!N46</f>
        <v>-</v>
      </c>
    </row>
    <row r="23" spans="1:14">
      <c r="A23">
        <v>20</v>
      </c>
      <c r="B23">
        <v>18</v>
      </c>
      <c r="C23" s="633" t="str">
        <f>+'Campus Selector'!$G$3</f>
        <v>Canton</v>
      </c>
      <c r="D23" s="634" t="s">
        <v>678</v>
      </c>
      <c r="E23" s="634" t="s">
        <v>251</v>
      </c>
      <c r="F23" s="634">
        <v>20</v>
      </c>
      <c r="G23" s="633">
        <f>+'Enrollment 5YR'!B47</f>
        <v>92</v>
      </c>
      <c r="H23" s="633" t="str">
        <f>+'Enrollment 5YR'!C47</f>
        <v>04.092.25</v>
      </c>
      <c r="I23" s="633" t="str">
        <f>+'Enrollment 5YR'!E47</f>
        <v>Planned AAFTE</v>
      </c>
      <c r="J23" s="661">
        <f>+'Enrollment 5YR'!K47</f>
        <v>2699.0614261168389</v>
      </c>
      <c r="K23" s="661"/>
      <c r="L23" s="635"/>
      <c r="M23" s="635">
        <f>+'Enrollment 5YR'!M47</f>
        <v>3120</v>
      </c>
      <c r="N23" s="635">
        <f>+'Enrollment 5YR'!N47</f>
        <v>3268</v>
      </c>
    </row>
    <row r="24" spans="1:14">
      <c r="A24">
        <v>21</v>
      </c>
      <c r="D24" s="634"/>
      <c r="E24" s="634"/>
      <c r="F24" s="634"/>
      <c r="J24" s="661"/>
      <c r="K24" s="661"/>
      <c r="L24" s="635"/>
      <c r="M24" s="635"/>
      <c r="N24" s="635"/>
    </row>
    <row r="25" spans="1:14">
      <c r="A25">
        <v>22</v>
      </c>
      <c r="B25">
        <v>22</v>
      </c>
      <c r="C25" s="633" t="str">
        <f>+'Campus Selector'!$G$3</f>
        <v>Canton</v>
      </c>
      <c r="D25" s="634" t="s">
        <v>679</v>
      </c>
      <c r="E25" s="633" t="s">
        <v>245</v>
      </c>
      <c r="F25" s="633">
        <v>1</v>
      </c>
      <c r="G25" s="633">
        <f>+'FULL Enrollment Beyond Fall'!B11</f>
        <v>161</v>
      </c>
      <c r="H25" s="633" t="str">
        <f>+'FULL Enrollment Beyond Fall'!C11</f>
        <v>13.161.25</v>
      </c>
      <c r="I25" s="633" t="str">
        <f>+'FULL Enrollment Beyond Fall'!E11</f>
        <v>Unduplicated Academic Year Headcount</v>
      </c>
      <c r="J25" s="656">
        <f>+'FULL Enrollment Beyond Fall'!J11</f>
        <v>4879</v>
      </c>
      <c r="K25" s="656"/>
      <c r="L25" s="636"/>
      <c r="M25" s="636">
        <f>+'FULL Enrollment Beyond Fall'!K11</f>
        <v>5100</v>
      </c>
      <c r="N25" s="636">
        <f>+'FULL Enrollment Beyond Fall'!L11</f>
        <v>5400</v>
      </c>
    </row>
    <row r="26" spans="1:14">
      <c r="A26">
        <v>23</v>
      </c>
      <c r="B26">
        <v>23</v>
      </c>
      <c r="C26" s="633" t="str">
        <f>+'Campus Selector'!$G$3</f>
        <v>Canton</v>
      </c>
      <c r="D26" s="634" t="s">
        <v>679</v>
      </c>
      <c r="E26" s="633" t="s">
        <v>245</v>
      </c>
      <c r="F26" s="633">
        <v>2</v>
      </c>
      <c r="G26" s="633">
        <f>+'FULL Enrollment Beyond Fall'!B13</f>
        <v>162</v>
      </c>
      <c r="H26" s="633" t="str">
        <f>+'FULL Enrollment Beyond Fall'!C13</f>
        <v>13.162.25</v>
      </c>
      <c r="I26" s="633" t="str">
        <f>+'FULL Enrollment Beyond Fall'!E13</f>
        <v>College in the High Schools (state-ops)</v>
      </c>
      <c r="J26" s="656">
        <f>+'FULL Enrollment Beyond Fall'!J13</f>
        <v>0</v>
      </c>
      <c r="K26" s="656"/>
      <c r="L26" s="636"/>
      <c r="M26" s="636">
        <f>+'FULL Enrollment Beyond Fall'!K13</f>
        <v>0</v>
      </c>
      <c r="N26" s="636">
        <f>+'FULL Enrollment Beyond Fall'!L13</f>
        <v>0</v>
      </c>
    </row>
    <row r="27" spans="1:14">
      <c r="A27">
        <v>24</v>
      </c>
      <c r="B27">
        <v>25</v>
      </c>
      <c r="C27" s="633" t="str">
        <f>+'Campus Selector'!$G$3</f>
        <v>Canton</v>
      </c>
      <c r="D27" s="634" t="s">
        <v>679</v>
      </c>
      <c r="E27" s="633" t="s">
        <v>245</v>
      </c>
      <c r="F27" s="633">
        <v>3</v>
      </c>
      <c r="G27" s="633">
        <f>+'FULL Enrollment Beyond Fall'!B16</f>
        <v>164</v>
      </c>
      <c r="H27" s="633" t="str">
        <f>+'FULL Enrollment Beyond Fall'!C16</f>
        <v>13.164.25</v>
      </c>
      <c r="I27" s="633" t="str">
        <f>+'FULL Enrollment Beyond Fall'!E16</f>
        <v>Business and Industry</v>
      </c>
      <c r="J27" s="656">
        <f>+'FULL Enrollment Beyond Fall'!J16</f>
        <v>778</v>
      </c>
      <c r="K27" s="656"/>
      <c r="L27" s="636"/>
      <c r="M27" s="636">
        <f>+'FULL Enrollment Beyond Fall'!K16</f>
        <v>1000</v>
      </c>
      <c r="N27" s="636">
        <f>+'FULL Enrollment Beyond Fall'!L16</f>
        <v>1300</v>
      </c>
    </row>
    <row r="28" spans="1:14">
      <c r="A28">
        <v>25</v>
      </c>
      <c r="B28">
        <v>26</v>
      </c>
      <c r="C28" s="633" t="str">
        <f>+'Campus Selector'!$G$3</f>
        <v>Canton</v>
      </c>
      <c r="D28" s="634" t="s">
        <v>679</v>
      </c>
      <c r="E28" s="633" t="s">
        <v>245</v>
      </c>
      <c r="F28" s="633">
        <v>4</v>
      </c>
      <c r="G28" s="633">
        <f>+'FULL Enrollment Beyond Fall'!B17</f>
        <v>165</v>
      </c>
      <c r="H28" s="633" t="str">
        <f>+'FULL Enrollment Beyond Fall'!C17</f>
        <v>13.165.25</v>
      </c>
      <c r="I28" s="633" t="str">
        <f>+'FULL Enrollment Beyond Fall'!E17</f>
        <v>Non-Business and Industry</v>
      </c>
      <c r="J28" s="656">
        <f>+'FULL Enrollment Beyond Fall'!J17</f>
        <v>4237</v>
      </c>
      <c r="K28" s="656"/>
      <c r="L28" s="636"/>
      <c r="M28" s="636">
        <f>+'FULL Enrollment Beyond Fall'!K17</f>
        <v>5000</v>
      </c>
      <c r="N28" s="636">
        <f>+'FULL Enrollment Beyond Fall'!L17</f>
        <v>5200</v>
      </c>
    </row>
    <row r="29" spans="1:14">
      <c r="A29">
        <v>26</v>
      </c>
      <c r="D29" s="634"/>
      <c r="J29" s="656"/>
      <c r="K29" s="656"/>
      <c r="L29" s="636"/>
      <c r="M29" s="636"/>
      <c r="N29" s="636"/>
    </row>
    <row r="30" spans="1:14">
      <c r="A30">
        <v>27</v>
      </c>
      <c r="B30">
        <v>28</v>
      </c>
      <c r="C30" s="633" t="str">
        <f>+'Campus Selector'!$G$3</f>
        <v>Canton</v>
      </c>
      <c r="D30" s="634" t="s">
        <v>680</v>
      </c>
      <c r="E30" s="633" t="s">
        <v>246</v>
      </c>
      <c r="F30" s="633">
        <v>1</v>
      </c>
      <c r="G30" s="633">
        <f>+'Applicant Acceptance'!B9</f>
        <v>97</v>
      </c>
      <c r="H30" s="633" t="str">
        <f>+'Applicant Acceptance'!C9</f>
        <v>06.097.25</v>
      </c>
      <c r="I30" s="633" t="str">
        <f>+'Applicant Acceptance'!E9</f>
        <v>Applicants</v>
      </c>
      <c r="J30" s="656">
        <f>+'Applicant Acceptance'!K9</f>
        <v>4380</v>
      </c>
      <c r="K30" s="656"/>
      <c r="L30" s="636"/>
      <c r="M30" s="636">
        <f>+'Applicant Acceptance'!N9</f>
        <v>4500</v>
      </c>
      <c r="N30" s="636">
        <f>+'Applicant Acceptance'!O9</f>
        <v>5000</v>
      </c>
    </row>
    <row r="31" spans="1:14">
      <c r="A31">
        <v>28</v>
      </c>
      <c r="B31">
        <v>29</v>
      </c>
      <c r="C31" s="633" t="str">
        <f>+'Campus Selector'!$G$3</f>
        <v>Canton</v>
      </c>
      <c r="D31" s="634" t="s">
        <v>680</v>
      </c>
      <c r="E31" s="633" t="s">
        <v>246</v>
      </c>
      <c r="F31" s="633">
        <v>2</v>
      </c>
      <c r="G31" s="633">
        <f>+'Applicant Acceptance'!B10</f>
        <v>98</v>
      </c>
      <c r="H31" s="633" t="str">
        <f>+'Applicant Acceptance'!C10</f>
        <v>06.098.25</v>
      </c>
      <c r="I31" s="633" t="str">
        <f>+'Applicant Acceptance'!E10</f>
        <v>Acceptances</v>
      </c>
      <c r="J31" s="656">
        <f>+'Applicant Acceptance'!K10</f>
        <v>3072</v>
      </c>
      <c r="K31" s="656"/>
      <c r="L31" s="636"/>
      <c r="M31" s="636">
        <f>+'Applicant Acceptance'!N10</f>
        <v>3300</v>
      </c>
      <c r="N31" s="636">
        <f>+'Applicant Acceptance'!O10</f>
        <v>3500</v>
      </c>
    </row>
    <row r="32" spans="1:14">
      <c r="A32">
        <v>29</v>
      </c>
      <c r="B32">
        <v>30</v>
      </c>
      <c r="C32" s="633" t="str">
        <f>+'Campus Selector'!$G$3</f>
        <v>Canton</v>
      </c>
      <c r="D32" s="634" t="s">
        <v>680</v>
      </c>
      <c r="E32" s="633" t="s">
        <v>246</v>
      </c>
      <c r="F32" s="633">
        <v>3</v>
      </c>
      <c r="G32" s="633">
        <f>+'Applicant Acceptance'!B12</f>
        <v>99</v>
      </c>
      <c r="H32" s="633" t="str">
        <f>+'Applicant Acceptance'!C12</f>
        <v>06.099.25</v>
      </c>
      <c r="I32" s="633" t="str">
        <f>+'Applicant Acceptance'!E12</f>
        <v>Enrolled</v>
      </c>
      <c r="J32" s="656">
        <f>+'Applicant Acceptance'!K12</f>
        <v>726</v>
      </c>
      <c r="K32" s="656"/>
      <c r="L32" s="636"/>
      <c r="M32" s="636">
        <f>+'Applicant Acceptance'!N12</f>
        <v>743</v>
      </c>
      <c r="N32" s="636">
        <f>+'Applicant Acceptance'!O12</f>
        <v>800</v>
      </c>
    </row>
    <row r="33" spans="1:14">
      <c r="A33">
        <v>30</v>
      </c>
      <c r="B33">
        <v>38</v>
      </c>
      <c r="C33" s="633" t="str">
        <f>+'Campus Selector'!$G$3</f>
        <v>Canton</v>
      </c>
      <c r="D33" s="634" t="s">
        <v>680</v>
      </c>
      <c r="E33" s="633" t="s">
        <v>246</v>
      </c>
      <c r="F33" s="633">
        <v>4</v>
      </c>
      <c r="G33" s="633">
        <f>+'Applicant Acceptance'!B17</f>
        <v>107</v>
      </c>
      <c r="H33" s="633" t="str">
        <f>+'Applicant Acceptance'!C17</f>
        <v>06.107.25</v>
      </c>
      <c r="I33" s="633" t="str">
        <f>+'Applicant Acceptance'!E17</f>
        <v>Total First-time, Full-time in Bacc Cohort</v>
      </c>
      <c r="J33" s="656">
        <f>+'Applicant Acceptance'!K17</f>
        <v>131</v>
      </c>
      <c r="K33" s="656"/>
      <c r="L33" s="636"/>
      <c r="M33" s="636">
        <f>+'Applicant Acceptance'!N17</f>
        <v>144</v>
      </c>
      <c r="N33" s="636">
        <f>+'Applicant Acceptance'!O17</f>
        <v>154</v>
      </c>
    </row>
    <row r="34" spans="1:14">
      <c r="A34">
        <v>31</v>
      </c>
      <c r="B34">
        <v>31</v>
      </c>
      <c r="C34" s="633" t="str">
        <f>+'Campus Selector'!$G$3</f>
        <v>Canton</v>
      </c>
      <c r="D34" s="634" t="s">
        <v>680</v>
      </c>
      <c r="E34" s="633" t="s">
        <v>246</v>
      </c>
      <c r="F34" s="633">
        <v>5</v>
      </c>
      <c r="G34" s="633">
        <f>+'Applicant Acceptance'!B18</f>
        <v>100</v>
      </c>
      <c r="H34" s="633" t="str">
        <f>+'Applicant Acceptance'!C18</f>
        <v>06.100.25</v>
      </c>
      <c r="I34" s="633" t="str">
        <f>+'Applicant Acceptance'!E18</f>
        <v>Group 1</v>
      </c>
      <c r="J34" s="656">
        <f>+'Applicant Acceptance'!K18</f>
        <v>10</v>
      </c>
      <c r="K34" s="656"/>
      <c r="L34" s="636"/>
      <c r="M34" s="636">
        <f>+'Applicant Acceptance'!N18</f>
        <v>10</v>
      </c>
      <c r="N34" s="636">
        <f>+'Applicant Acceptance'!O18</f>
        <v>13</v>
      </c>
    </row>
    <row r="35" spans="1:14">
      <c r="A35">
        <v>32</v>
      </c>
      <c r="B35">
        <v>32</v>
      </c>
      <c r="C35" s="633" t="str">
        <f>+'Campus Selector'!$G$3</f>
        <v>Canton</v>
      </c>
      <c r="D35" s="634" t="s">
        <v>680</v>
      </c>
      <c r="E35" s="633" t="s">
        <v>246</v>
      </c>
      <c r="F35" s="633">
        <v>6</v>
      </c>
      <c r="G35" s="633">
        <f>+'Applicant Acceptance'!B19</f>
        <v>101</v>
      </c>
      <c r="H35" s="633" t="str">
        <f>+'Applicant Acceptance'!C19</f>
        <v>06.101.25</v>
      </c>
      <c r="I35" s="633" t="str">
        <f>+'Applicant Acceptance'!E19</f>
        <v>Group 2</v>
      </c>
      <c r="J35" s="656">
        <f>+'Applicant Acceptance'!K19</f>
        <v>18</v>
      </c>
      <c r="K35" s="656"/>
      <c r="L35" s="636"/>
      <c r="M35" s="636">
        <f>+'Applicant Acceptance'!N19</f>
        <v>20</v>
      </c>
      <c r="N35" s="636">
        <f>+'Applicant Acceptance'!O19</f>
        <v>22</v>
      </c>
    </row>
    <row r="36" spans="1:14">
      <c r="A36">
        <v>33</v>
      </c>
      <c r="B36">
        <v>33</v>
      </c>
      <c r="C36" s="633" t="str">
        <f>+'Campus Selector'!$G$3</f>
        <v>Canton</v>
      </c>
      <c r="D36" s="634" t="s">
        <v>680</v>
      </c>
      <c r="E36" s="633" t="s">
        <v>246</v>
      </c>
      <c r="F36" s="633">
        <v>7</v>
      </c>
      <c r="G36" s="633">
        <f>+'Applicant Acceptance'!B20</f>
        <v>102</v>
      </c>
      <c r="H36" s="633" t="str">
        <f>+'Applicant Acceptance'!C20</f>
        <v>06.102.25</v>
      </c>
      <c r="I36" s="633" t="str">
        <f>+'Applicant Acceptance'!E20</f>
        <v>Group 3</v>
      </c>
      <c r="J36" s="656">
        <f>+'Applicant Acceptance'!K20</f>
        <v>25</v>
      </c>
      <c r="K36" s="656"/>
      <c r="L36" s="636"/>
      <c r="M36" s="636">
        <f>+'Applicant Acceptance'!N20</f>
        <v>45</v>
      </c>
      <c r="N36" s="636">
        <f>+'Applicant Acceptance'!O20</f>
        <v>50</v>
      </c>
    </row>
    <row r="37" spans="1:14">
      <c r="A37">
        <v>34</v>
      </c>
      <c r="B37">
        <v>34</v>
      </c>
      <c r="C37" s="633" t="str">
        <f>+'Campus Selector'!$G$3</f>
        <v>Canton</v>
      </c>
      <c r="D37" s="634" t="s">
        <v>680</v>
      </c>
      <c r="E37" s="633" t="s">
        <v>246</v>
      </c>
      <c r="F37" s="633">
        <v>8</v>
      </c>
      <c r="G37" s="633">
        <f>+'Applicant Acceptance'!B21</f>
        <v>103</v>
      </c>
      <c r="H37" s="633" t="str">
        <f>+'Applicant Acceptance'!C21</f>
        <v>06.103.25</v>
      </c>
      <c r="I37" s="633" t="str">
        <f>+'Applicant Acceptance'!E21</f>
        <v>Group 4</v>
      </c>
      <c r="J37" s="656">
        <f>+'Applicant Acceptance'!K21</f>
        <v>30</v>
      </c>
      <c r="K37" s="656"/>
      <c r="L37" s="636"/>
      <c r="M37" s="636">
        <f>+'Applicant Acceptance'!N21</f>
        <v>30</v>
      </c>
      <c r="N37" s="636">
        <f>+'Applicant Acceptance'!O21</f>
        <v>30</v>
      </c>
    </row>
    <row r="38" spans="1:14">
      <c r="A38">
        <v>35</v>
      </c>
      <c r="B38">
        <v>35</v>
      </c>
      <c r="C38" s="633" t="str">
        <f>+'Campus Selector'!$G$3</f>
        <v>Canton</v>
      </c>
      <c r="D38" s="634" t="s">
        <v>680</v>
      </c>
      <c r="E38" s="633" t="s">
        <v>246</v>
      </c>
      <c r="F38" s="633">
        <v>9</v>
      </c>
      <c r="G38" s="633">
        <f>+'Applicant Acceptance'!B22</f>
        <v>104</v>
      </c>
      <c r="H38" s="633" t="str">
        <f>+'Applicant Acceptance'!C22</f>
        <v>06.104.25</v>
      </c>
      <c r="I38" s="633" t="str">
        <f>+'Applicant Acceptance'!E22</f>
        <v>Group 5</v>
      </c>
      <c r="J38" s="656">
        <f>+'Applicant Acceptance'!K22</f>
        <v>4</v>
      </c>
      <c r="K38" s="656"/>
      <c r="L38" s="636"/>
      <c r="M38" s="636">
        <f>+'Applicant Acceptance'!N22</f>
        <v>4</v>
      </c>
      <c r="N38" s="636">
        <f>+'Applicant Acceptance'!O22</f>
        <v>4</v>
      </c>
    </row>
    <row r="39" spans="1:14">
      <c r="A39">
        <v>36</v>
      </c>
      <c r="B39">
        <v>36</v>
      </c>
      <c r="C39" s="633" t="str">
        <f>+'Campus Selector'!$G$3</f>
        <v>Canton</v>
      </c>
      <c r="D39" s="634" t="s">
        <v>680</v>
      </c>
      <c r="E39" s="633" t="s">
        <v>246</v>
      </c>
      <c r="F39" s="633">
        <v>10</v>
      </c>
      <c r="G39" s="633">
        <f>+'Applicant Acceptance'!B23</f>
        <v>105</v>
      </c>
      <c r="H39" s="633" t="str">
        <f>+'Applicant Acceptance'!C23</f>
        <v>06.105.25</v>
      </c>
      <c r="I39" s="633" t="str">
        <f>+'Applicant Acceptance'!E23</f>
        <v>Not Classifiable2</v>
      </c>
      <c r="J39" s="656">
        <f>+'Applicant Acceptance'!K23</f>
        <v>44</v>
      </c>
      <c r="K39" s="656"/>
      <c r="L39" s="636"/>
      <c r="M39" s="636">
        <f>+'Applicant Acceptance'!N23</f>
        <v>35</v>
      </c>
      <c r="N39" s="636">
        <f>+'Applicant Acceptance'!O23</f>
        <v>35</v>
      </c>
    </row>
    <row r="40" spans="1:14">
      <c r="A40">
        <v>37</v>
      </c>
      <c r="B40">
        <v>37</v>
      </c>
      <c r="C40" s="633" t="str">
        <f>+'Campus Selector'!$G$3</f>
        <v>Canton</v>
      </c>
      <c r="D40" s="634" t="s">
        <v>680</v>
      </c>
      <c r="E40" s="633" t="s">
        <v>246</v>
      </c>
      <c r="F40" s="633">
        <v>11</v>
      </c>
      <c r="G40" s="633">
        <f>+'Applicant Acceptance'!B24</f>
        <v>106</v>
      </c>
      <c r="H40" s="633" t="str">
        <f>+'Applicant Acceptance'!C24</f>
        <v>06.106.25</v>
      </c>
      <c r="I40" s="633" t="str">
        <f>+'Applicant Acceptance'!E24</f>
        <v>EOP/Risk Admission</v>
      </c>
      <c r="J40" s="656">
        <f>+'Applicant Acceptance'!K24</f>
        <v>0</v>
      </c>
      <c r="K40" s="656"/>
      <c r="L40" s="636"/>
      <c r="M40" s="636">
        <f>+'Applicant Acceptance'!N24</f>
        <v>0</v>
      </c>
      <c r="N40" s="636">
        <f>+'Applicant Acceptance'!O24</f>
        <v>0</v>
      </c>
    </row>
    <row r="41" spans="1:14">
      <c r="A41">
        <v>38</v>
      </c>
      <c r="B41">
        <v>39</v>
      </c>
      <c r="C41" s="633" t="str">
        <f>+'Campus Selector'!$G$3</f>
        <v>Canton</v>
      </c>
      <c r="D41" s="634" t="s">
        <v>680</v>
      </c>
      <c r="E41" s="633" t="s">
        <v>246</v>
      </c>
      <c r="F41" s="633">
        <v>12</v>
      </c>
      <c r="G41" s="633">
        <f>+'Applicant Acceptance'!B36</f>
        <v>108</v>
      </c>
      <c r="H41" s="633" t="str">
        <f>+'Applicant Acceptance'!C36</f>
        <v>06.108.25</v>
      </c>
      <c r="I41" s="633" t="str">
        <f>+'Applicant Acceptance'!E36</f>
        <v>Mean Combined Math/Verbal SAT Score</v>
      </c>
      <c r="J41" s="657">
        <f>+'Applicant Acceptance'!K36</f>
        <v>980</v>
      </c>
      <c r="K41" s="657"/>
      <c r="L41" s="636"/>
      <c r="M41" s="636">
        <f>+'Applicant Acceptance'!N36</f>
        <v>990</v>
      </c>
      <c r="N41" s="636">
        <f>+'Applicant Acceptance'!O36</f>
        <v>990</v>
      </c>
    </row>
    <row r="42" spans="1:14">
      <c r="A42">
        <v>39</v>
      </c>
      <c r="B42">
        <v>40</v>
      </c>
      <c r="C42" s="633" t="str">
        <f>+'Campus Selector'!$G$3</f>
        <v>Canton</v>
      </c>
      <c r="D42" s="634" t="s">
        <v>680</v>
      </c>
      <c r="E42" s="633" t="s">
        <v>246</v>
      </c>
      <c r="F42" s="633">
        <v>13</v>
      </c>
      <c r="G42" s="633">
        <f>+'Applicant Acceptance'!B37</f>
        <v>109</v>
      </c>
      <c r="H42" s="633" t="str">
        <f>+'Applicant Acceptance'!C37</f>
        <v>06.109.25</v>
      </c>
      <c r="I42" s="633" t="str">
        <f>+'Applicant Acceptance'!E37</f>
        <v>Mean High School Average</v>
      </c>
      <c r="J42" s="633">
        <f>+'Applicant Acceptance'!K37</f>
        <v>85.55725190839695</v>
      </c>
      <c r="L42" s="636"/>
      <c r="M42" s="636">
        <f>+'Applicant Acceptance'!N37</f>
        <v>85.5</v>
      </c>
      <c r="N42" s="636">
        <f>+'Applicant Acceptance'!O37</f>
        <v>85.5</v>
      </c>
    </row>
    <row r="43" spans="1:14">
      <c r="A43">
        <v>40</v>
      </c>
      <c r="D43" s="634"/>
      <c r="L43" s="636"/>
      <c r="M43" s="636"/>
      <c r="N43" s="636"/>
    </row>
    <row r="44" spans="1:14">
      <c r="A44">
        <v>41</v>
      </c>
      <c r="B44">
        <v>42</v>
      </c>
      <c r="C44" s="633" t="str">
        <f>+'Campus Selector'!$G$3</f>
        <v>Canton</v>
      </c>
      <c r="D44" s="634" t="s">
        <v>681</v>
      </c>
      <c r="E44" s="633" t="s">
        <v>249</v>
      </c>
      <c r="F44" s="633">
        <v>1</v>
      </c>
      <c r="G44" s="633">
        <f>+'Geographic Diversity 5 Year'!B17</f>
        <v>429</v>
      </c>
      <c r="H44" s="633" t="str">
        <f>+'Geographic Diversity 5 Year'!C17</f>
        <v>07.429.25</v>
      </c>
      <c r="I44" s="633" t="str">
        <f>+'Geographic Diversity 5 Year'!E17</f>
        <v xml:space="preserve">New York State </v>
      </c>
      <c r="J44" s="656">
        <f>+'Geographic Diversity 5 Year'!K17</f>
        <v>3127</v>
      </c>
      <c r="K44" s="656"/>
      <c r="L44" s="636"/>
      <c r="M44" s="636">
        <f>+'Geographic Diversity 5 Year'!M17</f>
        <v>3384</v>
      </c>
      <c r="N44" s="636">
        <f>+'Geographic Diversity 5 Year'!N17</f>
        <v>3496</v>
      </c>
    </row>
    <row r="45" spans="1:14">
      <c r="A45">
        <v>42</v>
      </c>
      <c r="B45">
        <v>43</v>
      </c>
      <c r="C45" s="633" t="str">
        <f>+'Campus Selector'!$G$3</f>
        <v>Canton</v>
      </c>
      <c r="D45" s="634" t="s">
        <v>681</v>
      </c>
      <c r="E45" s="633" t="s">
        <v>249</v>
      </c>
      <c r="F45" s="633">
        <v>2</v>
      </c>
      <c r="G45" s="633">
        <f>+'Geographic Diversity 5 Year'!B19</f>
        <v>430</v>
      </c>
      <c r="H45" s="633" t="str">
        <f>+'Geographic Diversity 5 Year'!C19</f>
        <v>07.430.25</v>
      </c>
      <c r="I45" s="633" t="str">
        <f>+'Geographic Diversity 5 Year'!E19</f>
        <v>U.S. Non New York</v>
      </c>
      <c r="J45" s="656">
        <f>+'Geographic Diversity 5 Year'!K19</f>
        <v>100</v>
      </c>
      <c r="K45" s="656"/>
      <c r="L45" s="636"/>
      <c r="M45" s="636">
        <f>+'Geographic Diversity 5 Year'!M19</f>
        <v>130</v>
      </c>
      <c r="N45" s="636">
        <f>+'Geographic Diversity 5 Year'!N19</f>
        <v>190</v>
      </c>
    </row>
    <row r="46" spans="1:14">
      <c r="A46">
        <v>43</v>
      </c>
      <c r="B46">
        <v>44</v>
      </c>
      <c r="C46" s="633" t="str">
        <f>+'Campus Selector'!$G$3</f>
        <v>Canton</v>
      </c>
      <c r="D46" s="634" t="s">
        <v>681</v>
      </c>
      <c r="E46" s="633" t="s">
        <v>249</v>
      </c>
      <c r="F46" s="633">
        <v>3</v>
      </c>
      <c r="G46" s="633">
        <f>+'Geographic Diversity 5 Year'!B21</f>
        <v>431</v>
      </c>
      <c r="H46" s="633" t="str">
        <f>+'Geographic Diversity 5 Year'!C21</f>
        <v>07.431.25</v>
      </c>
      <c r="I46" s="633" t="str">
        <f>+'Geographic Diversity 5 Year'!E21</f>
        <v>International</v>
      </c>
      <c r="J46" s="656">
        <f>+'Geographic Diversity 5 Year'!K21</f>
        <v>55</v>
      </c>
      <c r="K46" s="656"/>
      <c r="L46" s="636"/>
      <c r="M46" s="636">
        <f>+'Geographic Diversity 5 Year'!M21</f>
        <v>86</v>
      </c>
      <c r="N46" s="636">
        <f>+'Geographic Diversity 5 Year'!N21</f>
        <v>114</v>
      </c>
    </row>
    <row r="47" spans="1:14">
      <c r="A47">
        <v>44</v>
      </c>
      <c r="B47">
        <v>45</v>
      </c>
      <c r="C47" s="633" t="str">
        <f>+'Campus Selector'!$G$3</f>
        <v>Canton</v>
      </c>
      <c r="D47" s="634" t="s">
        <v>681</v>
      </c>
      <c r="E47" s="633" t="s">
        <v>249</v>
      </c>
      <c r="F47" s="633">
        <v>4</v>
      </c>
      <c r="G47" s="633">
        <f>+'Geographic Diversity 5 Year'!B25</f>
        <v>432</v>
      </c>
      <c r="H47" s="633" t="str">
        <f>+'Geographic Diversity 5 Year'!C25</f>
        <v>07.432.25</v>
      </c>
      <c r="I47" s="633" t="str">
        <f>+'Geographic Diversity 5 Year'!E25</f>
        <v xml:space="preserve">New York State </v>
      </c>
      <c r="J47" s="656">
        <f>+'Geographic Diversity 5 Year'!K25</f>
        <v>0</v>
      </c>
      <c r="K47" s="656"/>
      <c r="L47" s="636"/>
      <c r="M47" s="636">
        <f>+'Geographic Diversity 5 Year'!M25</f>
        <v>0</v>
      </c>
      <c r="N47" s="636">
        <f>+'Geographic Diversity 5 Year'!N25</f>
        <v>0</v>
      </c>
    </row>
    <row r="48" spans="1:14">
      <c r="A48">
        <v>45</v>
      </c>
      <c r="B48">
        <v>46</v>
      </c>
      <c r="C48" s="633" t="str">
        <f>+'Campus Selector'!$G$3</f>
        <v>Canton</v>
      </c>
      <c r="D48" s="634" t="s">
        <v>681</v>
      </c>
      <c r="E48" s="633" t="s">
        <v>249</v>
      </c>
      <c r="F48" s="633">
        <v>5</v>
      </c>
      <c r="G48" s="633">
        <f>+'Geographic Diversity 5 Year'!B27</f>
        <v>433</v>
      </c>
      <c r="H48" s="633" t="str">
        <f>+'Geographic Diversity 5 Year'!C27</f>
        <v>07.433.25</v>
      </c>
      <c r="I48" s="633" t="str">
        <f>+'Geographic Diversity 5 Year'!E27</f>
        <v>U.S. Non New York</v>
      </c>
      <c r="J48" s="656">
        <f>+'Geographic Diversity 5 Year'!K27</f>
        <v>0</v>
      </c>
      <c r="K48" s="656"/>
      <c r="L48" s="636"/>
      <c r="M48" s="636">
        <f>+'Geographic Diversity 5 Year'!M27</f>
        <v>0</v>
      </c>
      <c r="N48" s="636">
        <f>+'Geographic Diversity 5 Year'!N27</f>
        <v>0</v>
      </c>
    </row>
    <row r="49" spans="1:14">
      <c r="A49">
        <v>46</v>
      </c>
      <c r="B49">
        <v>47</v>
      </c>
      <c r="C49" s="633" t="str">
        <f>+'Campus Selector'!$G$3</f>
        <v>Canton</v>
      </c>
      <c r="D49" s="634" t="s">
        <v>681</v>
      </c>
      <c r="E49" s="633" t="s">
        <v>249</v>
      </c>
      <c r="F49" s="633">
        <v>6</v>
      </c>
      <c r="G49" s="633">
        <f>+'Geographic Diversity 5 Year'!B29</f>
        <v>434</v>
      </c>
      <c r="H49" s="633" t="str">
        <f>+'Geographic Diversity 5 Year'!C29</f>
        <v>07.434.25</v>
      </c>
      <c r="I49" s="633" t="str">
        <f>+'Geographic Diversity 5 Year'!E29</f>
        <v>International</v>
      </c>
      <c r="J49" s="656">
        <f>+'Geographic Diversity 5 Year'!K29</f>
        <v>0</v>
      </c>
      <c r="K49" s="656"/>
      <c r="L49" s="636"/>
      <c r="M49" s="636">
        <f>+'Geographic Diversity 5 Year'!M29</f>
        <v>0</v>
      </c>
      <c r="N49" s="636">
        <f>+'Geographic Diversity 5 Year'!N29</f>
        <v>0</v>
      </c>
    </row>
    <row r="50" spans="1:14">
      <c r="A50">
        <v>47</v>
      </c>
      <c r="D50" s="634"/>
      <c r="J50" s="656"/>
      <c r="K50" s="656"/>
      <c r="L50" s="636"/>
      <c r="M50" s="636"/>
      <c r="N50" s="636"/>
    </row>
    <row r="51" spans="1:14">
      <c r="A51">
        <v>48</v>
      </c>
      <c r="C51" s="633" t="str">
        <f>+'Campus Selector'!$G$3</f>
        <v>Canton</v>
      </c>
      <c r="D51" s="634" t="s">
        <v>682</v>
      </c>
      <c r="E51" s="633" t="s">
        <v>269</v>
      </c>
      <c r="F51" s="633">
        <v>1</v>
      </c>
      <c r="G51" s="633">
        <f>+'Student Diversity 5 Year'!B11</f>
        <v>124</v>
      </c>
      <c r="H51" s="633" t="str">
        <f>+'Student Diversity 5 Year'!C11</f>
        <v>08.124.25</v>
      </c>
      <c r="I51" s="633" t="str">
        <f>+'Student Diversity 5 Year'!E11</f>
        <v>White Non-Hispanic</v>
      </c>
      <c r="J51" s="656">
        <f>+'Student Diversity 5 Year'!K11</f>
        <v>2250</v>
      </c>
      <c r="K51" s="656"/>
      <c r="L51" s="636"/>
      <c r="M51" s="636" t="str">
        <f>+'Student Diversity 5 Year'!M10</f>
        <v>Data provided for reference only.  
No goals requested.</v>
      </c>
      <c r="N51" s="636">
        <f>+'Student Diversity 5 Year'!N10</f>
        <v>0</v>
      </c>
    </row>
    <row r="52" spans="1:14">
      <c r="A52">
        <v>49</v>
      </c>
      <c r="B52">
        <v>49</v>
      </c>
      <c r="C52" s="633" t="str">
        <f>+'Campus Selector'!$G$3</f>
        <v>Canton</v>
      </c>
      <c r="D52" s="634" t="s">
        <v>682</v>
      </c>
      <c r="E52" s="633" t="s">
        <v>269</v>
      </c>
      <c r="F52" s="633">
        <v>2</v>
      </c>
      <c r="G52" s="633">
        <f>+'Student Diversity 5 Year'!B13</f>
        <v>125</v>
      </c>
      <c r="H52" s="633" t="str">
        <f>+'Student Diversity 5 Year'!C13</f>
        <v>08.125.25</v>
      </c>
      <c r="I52" s="633" t="str">
        <f>+'Student Diversity 5 Year'!E13</f>
        <v>Black Non-Hispanic</v>
      </c>
      <c r="J52" s="656">
        <f>+'Student Diversity 5 Year'!K13</f>
        <v>442</v>
      </c>
      <c r="K52" s="656"/>
      <c r="L52" s="636"/>
      <c r="M52" s="636">
        <f>+'Student Diversity 5 Year'!M12</f>
        <v>0</v>
      </c>
      <c r="N52" s="636">
        <f>+'Student Diversity 5 Year'!N12</f>
        <v>0</v>
      </c>
    </row>
    <row r="53" spans="1:14">
      <c r="A53">
        <v>50</v>
      </c>
      <c r="B53">
        <v>50</v>
      </c>
      <c r="C53" s="633" t="str">
        <f>+'Campus Selector'!$G$3</f>
        <v>Canton</v>
      </c>
      <c r="D53" s="634" t="s">
        <v>682</v>
      </c>
      <c r="E53" s="633" t="s">
        <v>269</v>
      </c>
      <c r="F53" s="633">
        <v>3</v>
      </c>
      <c r="G53" s="633">
        <f>+'Student Diversity 5 Year'!B14</f>
        <v>126</v>
      </c>
      <c r="H53" s="633" t="str">
        <f>+'Student Diversity 5 Year'!C14</f>
        <v>08.126.25</v>
      </c>
      <c r="I53" s="633" t="str">
        <f>+'Student Diversity 5 Year'!E14</f>
        <v>Hispanic</v>
      </c>
      <c r="J53" s="656">
        <f>+'Student Diversity 5 Year'!K14</f>
        <v>286</v>
      </c>
      <c r="K53" s="656"/>
      <c r="L53" s="636"/>
      <c r="M53" s="636">
        <f>+'Student Diversity 5 Year'!M13</f>
        <v>0</v>
      </c>
      <c r="N53" s="636">
        <f>+'Student Diversity 5 Year'!N13</f>
        <v>0</v>
      </c>
    </row>
    <row r="54" spans="1:14">
      <c r="A54">
        <v>51</v>
      </c>
      <c r="B54">
        <v>51</v>
      </c>
      <c r="C54" s="633" t="str">
        <f>+'Campus Selector'!$G$3</f>
        <v>Canton</v>
      </c>
      <c r="D54" s="634" t="s">
        <v>682</v>
      </c>
      <c r="E54" s="633" t="s">
        <v>269</v>
      </c>
      <c r="F54" s="633">
        <v>4</v>
      </c>
      <c r="G54" s="633">
        <f>+'Student Diversity 5 Year'!B15</f>
        <v>127</v>
      </c>
      <c r="H54" s="633" t="str">
        <f>+'Student Diversity 5 Year'!C15</f>
        <v>08.127.25</v>
      </c>
      <c r="I54" s="633" t="str">
        <f>+'Student Diversity 5 Year'!E15</f>
        <v>Asian/Pacific Islander</v>
      </c>
      <c r="J54" s="656">
        <f>+'Student Diversity 5 Year'!K15</f>
        <v>37</v>
      </c>
      <c r="K54" s="656"/>
      <c r="L54" s="636"/>
      <c r="M54" s="636">
        <f>+'Student Diversity 5 Year'!M14</f>
        <v>0</v>
      </c>
      <c r="N54" s="636">
        <f>+'Student Diversity 5 Year'!N14</f>
        <v>0</v>
      </c>
    </row>
    <row r="55" spans="1:14">
      <c r="A55">
        <v>52</v>
      </c>
      <c r="B55">
        <v>52</v>
      </c>
      <c r="C55" s="633" t="str">
        <f>+'Campus Selector'!$G$3</f>
        <v>Canton</v>
      </c>
      <c r="D55" s="634" t="s">
        <v>682</v>
      </c>
      <c r="E55" s="633" t="s">
        <v>269</v>
      </c>
      <c r="F55" s="633">
        <v>5</v>
      </c>
      <c r="G55" s="633">
        <f>+'Student Diversity 5 Year'!B16</f>
        <v>128</v>
      </c>
      <c r="H55" s="633" t="str">
        <f>+'Student Diversity 5 Year'!C16</f>
        <v>08.128.25</v>
      </c>
      <c r="I55" s="633" t="str">
        <f>+'Student Diversity 5 Year'!E16</f>
        <v>Native American/Alaskan</v>
      </c>
      <c r="J55" s="656">
        <f>+'Student Diversity 5 Year'!K16</f>
        <v>49</v>
      </c>
      <c r="K55" s="656"/>
      <c r="L55" s="636"/>
      <c r="M55" s="636">
        <f>+'Student Diversity 5 Year'!M15</f>
        <v>0</v>
      </c>
      <c r="N55" s="636">
        <f>+'Student Diversity 5 Year'!N15</f>
        <v>0</v>
      </c>
    </row>
    <row r="56" spans="1:14">
      <c r="A56">
        <v>53</v>
      </c>
      <c r="B56">
        <v>53</v>
      </c>
      <c r="C56" s="633" t="str">
        <f>+'Campus Selector'!$G$3</f>
        <v>Canton</v>
      </c>
      <c r="D56" s="634" t="s">
        <v>682</v>
      </c>
      <c r="E56" s="633" t="s">
        <v>269</v>
      </c>
      <c r="F56" s="633">
        <v>6</v>
      </c>
      <c r="G56" s="633">
        <f>+'Student Diversity 5 Year'!B17</f>
        <v>129</v>
      </c>
      <c r="H56" s="633" t="str">
        <f>+'Student Diversity 5 Year'!C17</f>
        <v>08.129.25</v>
      </c>
      <c r="I56" s="633" t="str">
        <f>+'Student Diversity 5 Year'!E17</f>
        <v>Two or More Races</v>
      </c>
      <c r="J56" s="656">
        <f>+'Student Diversity 5 Year'!K17</f>
        <v>55</v>
      </c>
      <c r="K56" s="656"/>
      <c r="L56" s="636"/>
      <c r="M56" s="636">
        <f>+'Student Diversity 5 Year'!M16</f>
        <v>0</v>
      </c>
      <c r="N56" s="636">
        <f>+'Student Diversity 5 Year'!N16</f>
        <v>0</v>
      </c>
    </row>
    <row r="57" spans="1:14">
      <c r="A57">
        <v>54</v>
      </c>
      <c r="B57">
        <v>54</v>
      </c>
      <c r="C57" s="633" t="str">
        <f>+'Campus Selector'!$G$3</f>
        <v>Canton</v>
      </c>
      <c r="D57" s="634" t="s">
        <v>682</v>
      </c>
      <c r="E57" s="633" t="s">
        <v>269</v>
      </c>
      <c r="F57" s="633">
        <v>7</v>
      </c>
      <c r="G57" s="633">
        <f>+'Student Diversity 5 Year'!B19</f>
        <v>130</v>
      </c>
      <c r="H57" s="633" t="str">
        <f>+'Student Diversity 5 Year'!C19</f>
        <v>08.130.25</v>
      </c>
      <c r="I57" s="633" t="str">
        <f>+'Student Diversity 5 Year'!E19</f>
        <v>Non-Resident Alien</v>
      </c>
      <c r="J57" s="656">
        <f>+'Student Diversity 5 Year'!K19</f>
        <v>55</v>
      </c>
      <c r="K57" s="656"/>
      <c r="L57" s="636"/>
      <c r="M57" s="636">
        <f>+'Student Diversity 5 Year'!M18</f>
        <v>0</v>
      </c>
      <c r="N57" s="636">
        <f>+'Student Diversity 5 Year'!N18</f>
        <v>0</v>
      </c>
    </row>
    <row r="58" spans="1:14">
      <c r="A58">
        <v>55</v>
      </c>
      <c r="B58">
        <v>55</v>
      </c>
      <c r="C58" s="633" t="str">
        <f>+'Campus Selector'!$G$3</f>
        <v>Canton</v>
      </c>
      <c r="D58" s="634" t="s">
        <v>682</v>
      </c>
      <c r="E58" s="633" t="s">
        <v>269</v>
      </c>
      <c r="F58" s="633">
        <v>8</v>
      </c>
      <c r="G58" s="633">
        <f>+'Student Diversity 5 Year'!B20</f>
        <v>131</v>
      </c>
      <c r="H58" s="633" t="str">
        <f>+'Student Diversity 5 Year'!C20</f>
        <v>08.131.25</v>
      </c>
      <c r="I58" s="633" t="str">
        <f>+'Student Diversity 5 Year'!E20</f>
        <v>Unknown</v>
      </c>
      <c r="J58" s="656">
        <f>+'Student Diversity 5 Year'!K20</f>
        <v>108</v>
      </c>
      <c r="K58" s="656"/>
      <c r="L58" s="636"/>
      <c r="M58" s="636">
        <f>+'Student Diversity 5 Year'!M19</f>
        <v>0</v>
      </c>
      <c r="N58" s="636">
        <f>+'Student Diversity 5 Year'!N19</f>
        <v>0</v>
      </c>
    </row>
    <row r="59" spans="1:14">
      <c r="A59">
        <v>56</v>
      </c>
      <c r="B59">
        <v>58</v>
      </c>
      <c r="C59" s="633" t="str">
        <f>+'Campus Selector'!$G$3</f>
        <v>Canton</v>
      </c>
      <c r="D59" s="634" t="s">
        <v>682</v>
      </c>
      <c r="E59" s="633" t="s">
        <v>269</v>
      </c>
      <c r="F59" s="633">
        <v>9</v>
      </c>
      <c r="G59" s="633">
        <f>+'Student Diversity 5 Year'!B30</f>
        <v>132</v>
      </c>
      <c r="H59" s="633" t="str">
        <f>+'Student Diversity 5 Year'!C30</f>
        <v>08.132.25</v>
      </c>
      <c r="I59" s="633" t="str">
        <f>+'Student Diversity 5 Year'!E30</f>
        <v>Male</v>
      </c>
      <c r="J59" s="656">
        <f>+'Student Diversity 5 Year'!K30</f>
        <v>1464</v>
      </c>
      <c r="K59" s="656"/>
      <c r="L59" s="636"/>
      <c r="M59" s="636">
        <f>+'Student Diversity 5 Year'!M29</f>
        <v>3600</v>
      </c>
      <c r="N59" s="636">
        <f>+'Student Diversity 5 Year'!N29</f>
        <v>3800</v>
      </c>
    </row>
    <row r="60" spans="1:14">
      <c r="A60">
        <v>57</v>
      </c>
      <c r="B60">
        <v>59</v>
      </c>
      <c r="C60" s="633" t="str">
        <f>+'Campus Selector'!$G$3</f>
        <v>Canton</v>
      </c>
      <c r="D60" s="634" t="s">
        <v>682</v>
      </c>
      <c r="E60" s="633" t="s">
        <v>269</v>
      </c>
      <c r="F60" s="633">
        <v>10</v>
      </c>
      <c r="G60" s="633">
        <f>+'Student Diversity 5 Year'!B31</f>
        <v>133</v>
      </c>
      <c r="H60" s="633" t="str">
        <f>+'Student Diversity 5 Year'!C31</f>
        <v>08.133.25</v>
      </c>
      <c r="I60" s="633" t="str">
        <f>+'Student Diversity 5 Year'!E31</f>
        <v>Female</v>
      </c>
      <c r="J60" s="656">
        <f>+'Student Diversity 5 Year'!K31</f>
        <v>1818</v>
      </c>
      <c r="K60" s="656"/>
      <c r="L60" s="636"/>
      <c r="M60" s="636">
        <f>+'Student Diversity 5 Year'!M30</f>
        <v>1656</v>
      </c>
      <c r="N60" s="636">
        <f>+'Student Diversity 5 Year'!N30</f>
        <v>1786</v>
      </c>
    </row>
    <row r="61" spans="1:14">
      <c r="A61">
        <v>58</v>
      </c>
      <c r="B61">
        <v>62</v>
      </c>
      <c r="C61" s="633" t="str">
        <f>+'Campus Selector'!$G$3</f>
        <v>Canton</v>
      </c>
      <c r="D61" s="634" t="s">
        <v>682</v>
      </c>
      <c r="E61" s="633" t="s">
        <v>269</v>
      </c>
      <c r="F61" s="633">
        <v>11</v>
      </c>
      <c r="G61" s="633">
        <f>+'Student Diversity 5 Year'!B40</f>
        <v>309</v>
      </c>
      <c r="H61" s="633" t="str">
        <f>+'Student Diversity 5 Year'!C40</f>
        <v>08.309.25</v>
      </c>
      <c r="I61" s="633" t="str">
        <f>+'Student Diversity 5 Year'!E40</f>
        <v>Students Eligible to Apply for Pell</v>
      </c>
      <c r="J61" s="656">
        <f>+'Student Diversity 5 Year'!K40</f>
        <v>3093</v>
      </c>
      <c r="K61" s="656"/>
      <c r="L61" s="636"/>
      <c r="M61" s="636">
        <f>+'Student Diversity 5 Year'!M39</f>
        <v>0</v>
      </c>
      <c r="N61" s="636">
        <f>+'Student Diversity 5 Year'!N39</f>
        <v>0</v>
      </c>
    </row>
    <row r="62" spans="1:14">
      <c r="A62">
        <v>59</v>
      </c>
      <c r="B62">
        <v>63</v>
      </c>
      <c r="C62" s="633" t="str">
        <f>+'Campus Selector'!$G$3</f>
        <v>Canton</v>
      </c>
      <c r="D62" s="634" t="s">
        <v>682</v>
      </c>
      <c r="E62" s="633" t="s">
        <v>269</v>
      </c>
      <c r="F62" s="633">
        <v>12</v>
      </c>
      <c r="G62" s="633">
        <f>+'Student Diversity 5 Year'!B41</f>
        <v>308</v>
      </c>
      <c r="H62" s="633" t="str">
        <f>+'Student Diversity 5 Year'!C41</f>
        <v>08.308.25</v>
      </c>
      <c r="I62" s="633" t="str">
        <f>+'Student Diversity 5 Year'!E41</f>
        <v>Students Receiving Pell</v>
      </c>
      <c r="J62" s="656">
        <f>+'Student Diversity 5 Year'!K41</f>
        <v>1799</v>
      </c>
      <c r="K62" s="656"/>
      <c r="L62" s="636"/>
      <c r="M62" s="636">
        <f>+'Student Diversity 5 Year'!M40</f>
        <v>3400</v>
      </c>
      <c r="N62" s="636">
        <f>+'Student Diversity 5 Year'!N40</f>
        <v>3580</v>
      </c>
    </row>
    <row r="63" spans="1:14">
      <c r="A63">
        <v>60</v>
      </c>
      <c r="B63">
        <v>65</v>
      </c>
      <c r="C63" s="633" t="str">
        <f>+'Campus Selector'!$G$3</f>
        <v>Canton</v>
      </c>
      <c r="D63" s="634" t="s">
        <v>682</v>
      </c>
      <c r="E63" s="633" t="s">
        <v>269</v>
      </c>
      <c r="F63" s="633">
        <v>13</v>
      </c>
      <c r="G63" s="633">
        <f>+'Student Diversity 5 Year'!B47</f>
        <v>123</v>
      </c>
      <c r="H63" s="633" t="str">
        <f>+'Student Diversity 5 Year'!C47</f>
        <v>08.123.25</v>
      </c>
      <c r="I63" s="633" t="str">
        <f>+'Student Diversity 5 Year'!E47</f>
        <v>EOP Enrollment</v>
      </c>
      <c r="J63" s="656">
        <f>+'Student Diversity 5 Year'!K47</f>
        <v>231</v>
      </c>
      <c r="K63" s="656"/>
      <c r="L63" s="636" t="str">
        <f>+'Student Diversity 5 Year'!L47</f>
        <v>-</v>
      </c>
      <c r="M63" s="636">
        <f>+'Student Diversity 5 Year'!M47</f>
        <v>245</v>
      </c>
      <c r="N63" s="636">
        <f>+'Student Diversity 5 Year'!N47</f>
        <v>245</v>
      </c>
    </row>
    <row r="64" spans="1:14">
      <c r="A64">
        <v>61</v>
      </c>
      <c r="D64" s="634"/>
      <c r="J64" s="656"/>
      <c r="K64" s="656"/>
      <c r="L64" s="636"/>
      <c r="M64" s="636"/>
      <c r="N64" s="636"/>
    </row>
    <row r="65" spans="1:14">
      <c r="A65">
        <v>62</v>
      </c>
      <c r="B65">
        <v>67</v>
      </c>
      <c r="C65" s="633" t="str">
        <f>+'Campus Selector'!$G$3</f>
        <v>Canton</v>
      </c>
      <c r="D65" s="634" t="s">
        <v>683</v>
      </c>
      <c r="E65" s="633" t="s">
        <v>247</v>
      </c>
      <c r="F65" s="633">
        <v>1</v>
      </c>
      <c r="G65" s="633">
        <f>+'Faculty Trends'!B11</f>
        <v>22</v>
      </c>
      <c r="H65" s="633" t="str">
        <f>+'Faculty Trends'!C11</f>
        <v>02.022.25</v>
      </c>
      <c r="I65" s="633" t="str">
        <f>+'Faculty Trends'!E11</f>
        <v>Full-Time</v>
      </c>
      <c r="J65" s="656">
        <f>+'Faculty Trends'!J11</f>
        <v>131</v>
      </c>
      <c r="K65" s="656"/>
      <c r="L65" s="636"/>
      <c r="M65" s="636">
        <f>+'Faculty Trends'!M10</f>
        <v>228</v>
      </c>
      <c r="N65" s="636">
        <f>+'Faculty Trends'!N10</f>
        <v>235</v>
      </c>
    </row>
    <row r="66" spans="1:14">
      <c r="A66">
        <v>63</v>
      </c>
      <c r="B66">
        <v>68</v>
      </c>
      <c r="C66" s="633" t="str">
        <f>+'Campus Selector'!$G$3</f>
        <v>Canton</v>
      </c>
      <c r="D66" s="634" t="s">
        <v>683</v>
      </c>
      <c r="E66" s="633" t="s">
        <v>247</v>
      </c>
      <c r="F66" s="633">
        <v>2</v>
      </c>
      <c r="G66" s="633">
        <f>+'Faculty Trends'!B12</f>
        <v>23</v>
      </c>
      <c r="H66" s="633" t="str">
        <f>+'Faculty Trends'!C12</f>
        <v>02.023.25</v>
      </c>
      <c r="I66" s="633" t="str">
        <f>+'Faculty Trends'!E12</f>
        <v>Part-Time</v>
      </c>
      <c r="J66" s="656">
        <f>+'Faculty Trends'!J12</f>
        <v>97</v>
      </c>
      <c r="K66" s="656"/>
      <c r="L66" s="636"/>
      <c r="M66" s="636">
        <f>+'Faculty Trends'!M11</f>
        <v>130</v>
      </c>
      <c r="N66" s="636">
        <f>+'Faculty Trends'!N11</f>
        <v>135</v>
      </c>
    </row>
    <row r="67" spans="1:14">
      <c r="A67">
        <v>64</v>
      </c>
      <c r="B67">
        <v>74</v>
      </c>
      <c r="C67" s="633" t="str">
        <f>+'Campus Selector'!$G$3</f>
        <v>Canton</v>
      </c>
      <c r="D67" s="634" t="s">
        <v>683</v>
      </c>
      <c r="E67" s="633" t="s">
        <v>247</v>
      </c>
      <c r="F67" s="633">
        <v>4</v>
      </c>
      <c r="G67" s="633">
        <f>+'Faculty Trends'!B18</f>
        <v>27</v>
      </c>
      <c r="H67" s="633" t="str">
        <f>+'Faculty Trends'!C18</f>
        <v>02.027.25</v>
      </c>
      <c r="I67" s="633" t="str">
        <f>+'Faculty Trends'!E18</f>
        <v>Full-Time</v>
      </c>
      <c r="J67" s="656" t="str">
        <f>+'Faculty Trends'!J18</f>
        <v/>
      </c>
      <c r="K67" s="656"/>
      <c r="L67" s="636"/>
      <c r="M67" s="636" t="str">
        <f>+'Faculty Trends'!M17</f>
        <v/>
      </c>
      <c r="N67" s="636" t="str">
        <f>+'Faculty Trends'!N17</f>
        <v/>
      </c>
    </row>
    <row r="68" spans="1:14">
      <c r="A68">
        <v>65</v>
      </c>
      <c r="B68">
        <v>75</v>
      </c>
      <c r="C68" s="633" t="str">
        <f>+'Campus Selector'!$G$3</f>
        <v>Canton</v>
      </c>
      <c r="D68" s="634" t="s">
        <v>683</v>
      </c>
      <c r="E68" s="633" t="s">
        <v>247</v>
      </c>
      <c r="F68" s="633">
        <v>5</v>
      </c>
      <c r="G68" s="633">
        <f>+'Faculty Trends'!B19</f>
        <v>28</v>
      </c>
      <c r="H68" s="633" t="str">
        <f>+'Faculty Trends'!C19</f>
        <v>02.028.25</v>
      </c>
      <c r="I68" s="633" t="str">
        <f>+'Faculty Trends'!E19</f>
        <v>Part-Time</v>
      </c>
      <c r="J68" s="633" t="str">
        <f>+'Faculty Trends'!J19</f>
        <v/>
      </c>
      <c r="L68" s="636"/>
      <c r="M68" s="636">
        <f>+'Faculty Trends'!M18</f>
        <v>0</v>
      </c>
      <c r="N68" s="636">
        <f>+'Faculty Trends'!N18</f>
        <v>0</v>
      </c>
    </row>
    <row r="69" spans="1:14">
      <c r="A69">
        <v>66</v>
      </c>
      <c r="B69">
        <v>69</v>
      </c>
      <c r="C69" s="633" t="str">
        <f>+'Campus Selector'!$G$3</f>
        <v>Canton</v>
      </c>
      <c r="D69" s="634" t="s">
        <v>683</v>
      </c>
      <c r="E69" s="633" t="s">
        <v>247</v>
      </c>
      <c r="F69" s="633">
        <v>6</v>
      </c>
      <c r="G69" s="633">
        <f>+'Faculty Trends'!B24</f>
        <v>24</v>
      </c>
      <c r="H69" s="633" t="str">
        <f>+'Faculty Trends'!C24</f>
        <v>02.024.25</v>
      </c>
      <c r="I69" s="633" t="str">
        <f>+'Faculty Trends'!E24</f>
        <v>Estimated Faculty FTE  (FT + .33PT)</v>
      </c>
      <c r="J69" s="656">
        <f>+'Faculty Trends'!J24</f>
        <v>163.33333333333334</v>
      </c>
      <c r="K69" s="656"/>
      <c r="L69" s="636"/>
      <c r="M69" s="636">
        <f>+'Faculty Trends'!M23</f>
        <v>0</v>
      </c>
      <c r="N69" s="636">
        <f>+'Faculty Trends'!N23</f>
        <v>0</v>
      </c>
    </row>
    <row r="70" spans="1:14">
      <c r="A70">
        <v>67</v>
      </c>
      <c r="B70">
        <v>71</v>
      </c>
      <c r="C70" s="633" t="str">
        <f>+'Campus Selector'!$G$3</f>
        <v>Canton</v>
      </c>
      <c r="D70" s="634" t="s">
        <v>683</v>
      </c>
      <c r="E70" s="633" t="s">
        <v>247</v>
      </c>
      <c r="F70" s="633">
        <v>7</v>
      </c>
      <c r="G70" s="633">
        <f>+'Faculty Trends'!B25</f>
        <v>25</v>
      </c>
      <c r="H70" s="633" t="str">
        <f>+'Faculty Trends'!C25</f>
        <v>02.025.25</v>
      </c>
      <c r="I70" s="633" t="str">
        <f>+'Faculty Trends'!E25</f>
        <v>Student FTE (fall semester)</v>
      </c>
      <c r="J70" s="656">
        <f>+'Faculty Trends'!J25</f>
        <v>3106.4</v>
      </c>
      <c r="K70" s="656"/>
      <c r="L70" s="636"/>
      <c r="M70" s="636">
        <f>+'Faculty Trends'!M24</f>
        <v>162.66663399999999</v>
      </c>
      <c r="N70" s="636">
        <f>+'Faculty Trends'!N24</f>
        <v>168.33330000000001</v>
      </c>
    </row>
    <row r="71" spans="1:14">
      <c r="A71">
        <v>68</v>
      </c>
      <c r="B71">
        <v>70</v>
      </c>
      <c r="C71" s="633" t="str">
        <f>+'Campus Selector'!$G$3</f>
        <v>Canton</v>
      </c>
      <c r="D71" s="634" t="s">
        <v>683</v>
      </c>
      <c r="E71" s="633" t="s">
        <v>247</v>
      </c>
      <c r="F71" s="633">
        <v>9</v>
      </c>
      <c r="G71" s="633">
        <f>+'Faculty Trends'!B31</f>
        <v>24</v>
      </c>
      <c r="H71" s="633" t="str">
        <f>+'Faculty Trends'!C31</f>
        <v>02.024.25</v>
      </c>
      <c r="I71" s="633" t="str">
        <f>+'Faculty Trends'!E31</f>
        <v>Estimated Faculty FTE  (FT + .33PT)</v>
      </c>
      <c r="J71" s="656" t="str">
        <f>+'Faculty Trends'!J31</f>
        <v>-</v>
      </c>
      <c r="K71" s="656"/>
      <c r="L71" s="636"/>
      <c r="M71" s="636">
        <f>+'Faculty Trends'!M30</f>
        <v>0</v>
      </c>
      <c r="N71" s="636">
        <f>+'Faculty Trends'!N30</f>
        <v>0</v>
      </c>
    </row>
    <row r="72" spans="1:14">
      <c r="A72">
        <v>69</v>
      </c>
      <c r="B72">
        <v>72</v>
      </c>
      <c r="C72" s="633" t="str">
        <f>+'Campus Selector'!$G$3</f>
        <v>Canton</v>
      </c>
      <c r="D72" s="634" t="s">
        <v>683</v>
      </c>
      <c r="E72" s="633" t="s">
        <v>247</v>
      </c>
      <c r="F72" s="633">
        <v>10</v>
      </c>
      <c r="G72" s="633">
        <f>+'Faculty Trends'!B32</f>
        <v>25</v>
      </c>
      <c r="H72" s="633" t="str">
        <f>+'Faculty Trends'!C32</f>
        <v>02.025.25</v>
      </c>
      <c r="I72" s="633" t="str">
        <f>+'Faculty Trends'!E32</f>
        <v>Student FTE (fall semester)</v>
      </c>
      <c r="J72" s="656">
        <f>+'Faculty Trends'!J32</f>
        <v>3106.4</v>
      </c>
      <c r="K72" s="656"/>
      <c r="L72" s="636"/>
      <c r="M72" s="636" t="str">
        <f>+'Faculty Trends'!M31</f>
        <v/>
      </c>
      <c r="N72" s="636" t="str">
        <f>+'Faculty Trends'!N31</f>
        <v/>
      </c>
    </row>
    <row r="73" spans="1:14">
      <c r="A73">
        <v>70</v>
      </c>
      <c r="B73">
        <v>73</v>
      </c>
      <c r="C73" s="633" t="str">
        <f>+'Campus Selector'!$G$3</f>
        <v>Canton</v>
      </c>
      <c r="D73" s="634" t="s">
        <v>683</v>
      </c>
      <c r="E73" s="633" t="s">
        <v>247</v>
      </c>
      <c r="F73" s="633">
        <v>11</v>
      </c>
      <c r="G73" s="633">
        <f>+'Faculty Trends'!B38</f>
        <v>26</v>
      </c>
      <c r="H73" s="633" t="str">
        <f>+'Faculty Trends'!C38</f>
        <v>02.026.25</v>
      </c>
      <c r="I73" s="633" t="str">
        <f>+'Faculty Trends'!E38</f>
        <v>White Non-Hispanic</v>
      </c>
      <c r="J73" s="656">
        <f>+'Faculty Trends'!J38</f>
        <v>111</v>
      </c>
      <c r="K73" s="656"/>
      <c r="L73" s="636"/>
      <c r="M73" s="636" t="str">
        <f>+'Faculty Trends'!M37</f>
        <v>Data provided for reference only.  
No goals requested.</v>
      </c>
      <c r="N73" s="636">
        <f>+'Faculty Trends'!N37</f>
        <v>0</v>
      </c>
    </row>
    <row r="74" spans="1:14">
      <c r="A74">
        <v>71</v>
      </c>
      <c r="B74">
        <v>76</v>
      </c>
      <c r="C74" s="633" t="str">
        <f>+'Campus Selector'!$G$3</f>
        <v>Canton</v>
      </c>
      <c r="D74" s="634" t="s">
        <v>683</v>
      </c>
      <c r="E74" s="633" t="s">
        <v>247</v>
      </c>
      <c r="F74" s="633">
        <v>12</v>
      </c>
      <c r="G74" s="633">
        <f>+'Faculty Trends'!B40</f>
        <v>29</v>
      </c>
      <c r="H74" s="633" t="str">
        <f>+'Faculty Trends'!C40</f>
        <v>02.029.25</v>
      </c>
      <c r="I74" s="633" t="str">
        <f>+'Faculty Trends'!E40</f>
        <v>Black Non-Hispanic</v>
      </c>
      <c r="J74" s="656">
        <f>+'Faculty Trends'!J40</f>
        <v>6</v>
      </c>
      <c r="K74" s="656"/>
      <c r="L74" s="636"/>
      <c r="M74" s="636">
        <f>+'Faculty Trends'!M39</f>
        <v>0</v>
      </c>
      <c r="N74" s="636">
        <f>+'Faculty Trends'!N39</f>
        <v>0</v>
      </c>
    </row>
    <row r="75" spans="1:14">
      <c r="A75">
        <v>72</v>
      </c>
      <c r="B75">
        <v>77</v>
      </c>
      <c r="C75" s="633" t="str">
        <f>+'Campus Selector'!$G$3</f>
        <v>Canton</v>
      </c>
      <c r="D75" s="634" t="s">
        <v>683</v>
      </c>
      <c r="E75" s="633" t="s">
        <v>247</v>
      </c>
      <c r="F75" s="633">
        <v>13</v>
      </c>
      <c r="G75" s="633">
        <f>+'Faculty Trends'!B41</f>
        <v>30</v>
      </c>
      <c r="H75" s="633" t="str">
        <f>+'Faculty Trends'!C41</f>
        <v>02.030.25</v>
      </c>
      <c r="I75" s="633" t="str">
        <f>+'Faculty Trends'!E41</f>
        <v>Hispanic</v>
      </c>
      <c r="J75" s="656">
        <f>+'Faculty Trends'!J41</f>
        <v>2</v>
      </c>
      <c r="K75" s="656"/>
      <c r="L75" s="636"/>
      <c r="M75" s="636">
        <f>+'Faculty Trends'!M40</f>
        <v>0</v>
      </c>
      <c r="N75" s="636">
        <f>+'Faculty Trends'!N40</f>
        <v>0</v>
      </c>
    </row>
    <row r="76" spans="1:14">
      <c r="A76">
        <v>73</v>
      </c>
      <c r="B76">
        <v>78</v>
      </c>
      <c r="C76" s="633" t="str">
        <f>+'Campus Selector'!$G$3</f>
        <v>Canton</v>
      </c>
      <c r="D76" s="634" t="s">
        <v>683</v>
      </c>
      <c r="E76" s="633" t="s">
        <v>247</v>
      </c>
      <c r="F76" s="633">
        <v>14</v>
      </c>
      <c r="G76" s="633">
        <f>+'Faculty Trends'!B42</f>
        <v>31</v>
      </c>
      <c r="H76" s="633" t="str">
        <f>+'Faculty Trends'!C42</f>
        <v>02.031.25</v>
      </c>
      <c r="I76" s="633" t="str">
        <f>+'Faculty Trends'!E42</f>
        <v>Asian/Pacific Islander</v>
      </c>
      <c r="J76" s="656">
        <f>+'Faculty Trends'!J42</f>
        <v>8</v>
      </c>
      <c r="K76" s="656"/>
      <c r="L76" s="636"/>
      <c r="M76" s="636">
        <f>+'Faculty Trends'!M41</f>
        <v>0</v>
      </c>
      <c r="N76" s="636">
        <f>+'Faculty Trends'!N41</f>
        <v>0</v>
      </c>
    </row>
    <row r="77" spans="1:14">
      <c r="A77">
        <v>74</v>
      </c>
      <c r="B77">
        <v>79</v>
      </c>
      <c r="C77" s="633" t="str">
        <f>+'Campus Selector'!$G$3</f>
        <v>Canton</v>
      </c>
      <c r="D77" s="634" t="s">
        <v>683</v>
      </c>
      <c r="E77" s="633" t="s">
        <v>247</v>
      </c>
      <c r="F77" s="633">
        <v>15</v>
      </c>
      <c r="G77" s="633">
        <f>+'Faculty Trends'!B43</f>
        <v>32</v>
      </c>
      <c r="H77" s="633" t="str">
        <f>+'Faculty Trends'!C43</f>
        <v>02.032.25</v>
      </c>
      <c r="I77" s="633" t="str">
        <f>+'Faculty Trends'!E43</f>
        <v>Native American/Alaskan</v>
      </c>
      <c r="J77" s="656">
        <f>+'Faculty Trends'!J43</f>
        <v>0</v>
      </c>
      <c r="K77" s="656"/>
      <c r="L77" s="636"/>
      <c r="M77" s="636">
        <f>+'Faculty Trends'!M42</f>
        <v>0</v>
      </c>
      <c r="N77" s="636">
        <f>+'Faculty Trends'!N42</f>
        <v>0</v>
      </c>
    </row>
    <row r="78" spans="1:14">
      <c r="A78">
        <v>75</v>
      </c>
      <c r="B78">
        <v>80</v>
      </c>
      <c r="C78" s="633" t="str">
        <f>+'Campus Selector'!$G$3</f>
        <v>Canton</v>
      </c>
      <c r="D78" s="634" t="s">
        <v>683</v>
      </c>
      <c r="E78" s="633" t="s">
        <v>247</v>
      </c>
      <c r="F78" s="633">
        <v>16</v>
      </c>
      <c r="G78" s="633">
        <f>+'Faculty Trends'!B44</f>
        <v>33</v>
      </c>
      <c r="H78" s="633" t="str">
        <f>+'Faculty Trends'!C44</f>
        <v>02.033.25</v>
      </c>
      <c r="I78" s="633" t="str">
        <f>+'Faculty Trends'!E44</f>
        <v>Two or More Races</v>
      </c>
      <c r="J78" s="656">
        <f>+'Faculty Trends'!J44</f>
        <v>0</v>
      </c>
      <c r="K78" s="656"/>
      <c r="L78" s="636"/>
      <c r="M78" s="636">
        <f>+'Faculty Trends'!M43</f>
        <v>0</v>
      </c>
      <c r="N78" s="636">
        <f>+'Faculty Trends'!N43</f>
        <v>0</v>
      </c>
    </row>
    <row r="79" spans="1:14">
      <c r="A79">
        <v>76</v>
      </c>
      <c r="B79">
        <v>81</v>
      </c>
      <c r="C79" s="633" t="str">
        <f>+'Campus Selector'!$G$3</f>
        <v>Canton</v>
      </c>
      <c r="D79" s="634" t="s">
        <v>683</v>
      </c>
      <c r="E79" s="633" t="s">
        <v>247</v>
      </c>
      <c r="F79" s="633">
        <v>17</v>
      </c>
      <c r="G79" s="633">
        <f>+'Faculty Trends'!B46</f>
        <v>34</v>
      </c>
      <c r="H79" s="633" t="str">
        <f>+'Faculty Trends'!C46</f>
        <v>02.034.25</v>
      </c>
      <c r="I79" s="633" t="str">
        <f>+'Faculty Trends'!E46</f>
        <v>Non-Resident Alien</v>
      </c>
      <c r="J79" s="656">
        <f>+'Faculty Trends'!J46</f>
        <v>4</v>
      </c>
      <c r="K79" s="656"/>
      <c r="L79" s="636"/>
      <c r="M79" s="636">
        <f>+'Faculty Trends'!M45</f>
        <v>0</v>
      </c>
      <c r="N79" s="636">
        <f>+'Faculty Trends'!N45</f>
        <v>0</v>
      </c>
    </row>
    <row r="80" spans="1:14">
      <c r="A80">
        <v>77</v>
      </c>
      <c r="B80">
        <v>82</v>
      </c>
      <c r="C80" s="633" t="str">
        <f>+'Campus Selector'!$G$3</f>
        <v>Canton</v>
      </c>
      <c r="D80" s="634" t="s">
        <v>683</v>
      </c>
      <c r="E80" s="633" t="s">
        <v>247</v>
      </c>
      <c r="F80" s="633">
        <v>18</v>
      </c>
      <c r="G80" s="633">
        <f>+'Faculty Trends'!B47</f>
        <v>35</v>
      </c>
      <c r="H80" s="633" t="str">
        <f>+'Faculty Trends'!C47</f>
        <v>02.035.25</v>
      </c>
      <c r="I80" s="633" t="str">
        <f>+'Faculty Trends'!E47</f>
        <v>Unknown</v>
      </c>
      <c r="J80" s="656">
        <f>+'Faculty Trends'!J47</f>
        <v>0</v>
      </c>
      <c r="K80" s="656"/>
      <c r="L80" s="636"/>
      <c r="M80" s="636">
        <f>+'Faculty Trends'!M46</f>
        <v>0</v>
      </c>
      <c r="N80" s="636">
        <f>+'Faculty Trends'!N46</f>
        <v>0</v>
      </c>
    </row>
    <row r="81" spans="1:14">
      <c r="A81">
        <v>78</v>
      </c>
      <c r="B81">
        <v>83</v>
      </c>
      <c r="C81" s="633" t="str">
        <f>+'Campus Selector'!$G$3</f>
        <v>Canton</v>
      </c>
      <c r="D81" s="634" t="s">
        <v>683</v>
      </c>
      <c r="E81" s="633" t="s">
        <v>247</v>
      </c>
      <c r="F81" s="633">
        <v>21</v>
      </c>
      <c r="G81" s="633">
        <f>+'Faculty Trends'!B57</f>
        <v>36</v>
      </c>
      <c r="H81" s="633" t="str">
        <f>+'Faculty Trends'!C57</f>
        <v>02.036.25</v>
      </c>
      <c r="I81" s="633" t="str">
        <f>+'Faculty Trends'!E57</f>
        <v>Male</v>
      </c>
      <c r="J81" s="656">
        <f>+'Faculty Trends'!J57</f>
        <v>74</v>
      </c>
      <c r="K81" s="656"/>
      <c r="L81" s="636"/>
      <c r="M81" s="636">
        <f>+'Faculty Trends'!M56</f>
        <v>130</v>
      </c>
      <c r="N81" s="636">
        <f>+'Faculty Trends'!N56</f>
        <v>135</v>
      </c>
    </row>
    <row r="82" spans="1:14">
      <c r="A82">
        <v>79</v>
      </c>
      <c r="B82">
        <v>84</v>
      </c>
      <c r="C82" s="633" t="str">
        <f>+'Campus Selector'!$G$3</f>
        <v>Canton</v>
      </c>
      <c r="D82" s="634" t="s">
        <v>683</v>
      </c>
      <c r="E82" s="633" t="s">
        <v>247</v>
      </c>
      <c r="F82" s="633">
        <v>22</v>
      </c>
      <c r="G82" s="633">
        <f>+'Faculty Trends'!B58</f>
        <v>37</v>
      </c>
      <c r="H82" s="633" t="str">
        <f>+'Faculty Trends'!C58</f>
        <v>02.037.25</v>
      </c>
      <c r="I82" s="633" t="str">
        <f>+'Faculty Trends'!E58</f>
        <v>Female</v>
      </c>
      <c r="J82" s="656">
        <f>+'Faculty Trends'!J58</f>
        <v>57</v>
      </c>
      <c r="K82" s="656"/>
      <c r="L82" s="636"/>
      <c r="M82" s="636">
        <f>+'Faculty Trends'!M57</f>
        <v>70</v>
      </c>
      <c r="N82" s="636">
        <f>+'Faculty Trends'!N57</f>
        <v>72</v>
      </c>
    </row>
    <row r="83" spans="1:14">
      <c r="A83">
        <v>80</v>
      </c>
      <c r="D83" s="634"/>
      <c r="J83" s="656"/>
      <c r="K83" s="656"/>
      <c r="L83" s="636"/>
      <c r="M83" s="636"/>
      <c r="N83" s="636"/>
    </row>
    <row r="84" spans="1:14">
      <c r="A84">
        <v>81</v>
      </c>
      <c r="B84">
        <v>92</v>
      </c>
      <c r="C84" s="633" t="str">
        <f>+'Campus Selector'!$G$3</f>
        <v>Canton</v>
      </c>
      <c r="D84" s="634" t="s">
        <v>684</v>
      </c>
      <c r="E84" s="633" t="s">
        <v>248</v>
      </c>
      <c r="F84" s="633">
        <v>1</v>
      </c>
      <c r="G84" s="633">
        <f>+'Staff Trends'!B11</f>
        <v>51</v>
      </c>
      <c r="H84" s="633" t="str">
        <f>+'Staff Trends'!C11</f>
        <v>03.051.25</v>
      </c>
      <c r="I84" s="633" t="str">
        <f>+'Staff Trends'!E11</f>
        <v>Full-Time</v>
      </c>
      <c r="J84" s="656">
        <f>+'Staff Trends'!J11</f>
        <v>261</v>
      </c>
      <c r="K84" s="656"/>
      <c r="L84" s="636"/>
      <c r="M84" s="636">
        <f>+'Staff Trends'!M11</f>
        <v>261</v>
      </c>
      <c r="N84" s="636">
        <f>+'Staff Trends'!N11</f>
        <v>265</v>
      </c>
    </row>
    <row r="85" spans="1:14">
      <c r="A85">
        <v>82</v>
      </c>
      <c r="B85">
        <v>93</v>
      </c>
      <c r="C85" s="633" t="str">
        <f>+'Campus Selector'!$G$3</f>
        <v>Canton</v>
      </c>
      <c r="D85" s="634" t="s">
        <v>684</v>
      </c>
      <c r="E85" s="633" t="s">
        <v>248</v>
      </c>
      <c r="F85" s="633">
        <v>2</v>
      </c>
      <c r="G85" s="633">
        <f>+'Staff Trends'!B12</f>
        <v>52</v>
      </c>
      <c r="H85" s="633" t="str">
        <f>+'Staff Trends'!C12</f>
        <v>03.052.25</v>
      </c>
      <c r="I85" s="633" t="str">
        <f>+'Staff Trends'!E12</f>
        <v>Part-Time</v>
      </c>
      <c r="J85" s="633">
        <f>+'Staff Trends'!J12</f>
        <v>59</v>
      </c>
      <c r="L85" s="636"/>
      <c r="M85" s="636">
        <f>+'Staff Trends'!M12</f>
        <v>59</v>
      </c>
      <c r="N85" s="636">
        <f>+'Staff Trends'!N12</f>
        <v>60</v>
      </c>
    </row>
    <row r="86" spans="1:14">
      <c r="A86">
        <v>83</v>
      </c>
      <c r="B86">
        <v>95</v>
      </c>
      <c r="C86" s="633" t="str">
        <f>+'Campus Selector'!$G$3</f>
        <v>Canton</v>
      </c>
      <c r="D86" s="634" t="s">
        <v>684</v>
      </c>
      <c r="E86" s="633" t="s">
        <v>248</v>
      </c>
      <c r="F86" s="633">
        <v>4</v>
      </c>
      <c r="G86" s="633">
        <f>+'Staff Trends'!B18</f>
        <v>54</v>
      </c>
      <c r="H86" s="633" t="str">
        <f>+'Staff Trends'!C18</f>
        <v>03.054.25</v>
      </c>
      <c r="I86" s="633" t="str">
        <f>+'Staff Trends'!E18</f>
        <v>Full-Time</v>
      </c>
      <c r="J86" s="656" t="str">
        <f>+'Staff Trends'!J18</f>
        <v/>
      </c>
      <c r="K86" s="656"/>
      <c r="L86" s="636"/>
      <c r="M86" s="636">
        <f>+'Staff Trends'!M18</f>
        <v>0</v>
      </c>
      <c r="N86" s="636">
        <f>+'Staff Trends'!N18</f>
        <v>0</v>
      </c>
    </row>
    <row r="87" spans="1:14">
      <c r="A87">
        <v>84</v>
      </c>
      <c r="B87">
        <v>96</v>
      </c>
      <c r="C87" s="633" t="str">
        <f>+'Campus Selector'!$G$3</f>
        <v>Canton</v>
      </c>
      <c r="D87" s="634" t="s">
        <v>684</v>
      </c>
      <c r="E87" s="633" t="s">
        <v>248</v>
      </c>
      <c r="F87" s="633">
        <v>5</v>
      </c>
      <c r="G87" s="633">
        <f>+'Staff Trends'!B19</f>
        <v>55</v>
      </c>
      <c r="H87" s="633" t="str">
        <f>+'Staff Trends'!C19</f>
        <v>03.055.25</v>
      </c>
      <c r="I87" s="633" t="str">
        <f>+'Staff Trends'!E19</f>
        <v>Part-Time</v>
      </c>
      <c r="J87" s="633" t="str">
        <f>+'Staff Trends'!J19</f>
        <v/>
      </c>
      <c r="L87" s="636"/>
      <c r="M87" s="636">
        <f>+'Staff Trends'!M19</f>
        <v>0</v>
      </c>
      <c r="N87" s="636">
        <f>+'Staff Trends'!N19</f>
        <v>0</v>
      </c>
    </row>
    <row r="88" spans="1:14">
      <c r="A88">
        <v>85</v>
      </c>
      <c r="B88">
        <v>94</v>
      </c>
      <c r="C88" s="633" t="str">
        <f>+'Campus Selector'!$G$3</f>
        <v>Canton</v>
      </c>
      <c r="D88" s="634" t="s">
        <v>684</v>
      </c>
      <c r="E88" s="633" t="s">
        <v>248</v>
      </c>
      <c r="F88" s="633">
        <v>6</v>
      </c>
      <c r="G88" s="633">
        <f>+'Staff Trends'!B25</f>
        <v>53</v>
      </c>
      <c r="H88" s="633" t="str">
        <f>+'Staff Trends'!C25</f>
        <v>03.053.25</v>
      </c>
      <c r="I88" s="633" t="str">
        <f>+'Staff Trends'!E25</f>
        <v>White Non-Hispanic</v>
      </c>
      <c r="J88" s="656">
        <f>+'Staff Trends'!J25</f>
        <v>251</v>
      </c>
      <c r="K88" s="656"/>
      <c r="L88" s="636"/>
      <c r="M88" s="636">
        <f>+'Staff Trends'!M25</f>
        <v>0</v>
      </c>
      <c r="N88" s="636">
        <f>+'Staff Trends'!N25</f>
        <v>0</v>
      </c>
    </row>
    <row r="89" spans="1:14">
      <c r="A89">
        <v>86</v>
      </c>
      <c r="B89">
        <v>97</v>
      </c>
      <c r="C89" s="633" t="str">
        <f>+'Campus Selector'!$G$3</f>
        <v>Canton</v>
      </c>
      <c r="D89" s="634" t="s">
        <v>684</v>
      </c>
      <c r="E89" s="633" t="s">
        <v>248</v>
      </c>
      <c r="F89" s="633">
        <v>7</v>
      </c>
      <c r="G89" s="633">
        <f>+'Staff Trends'!B27</f>
        <v>56</v>
      </c>
      <c r="H89" s="633" t="str">
        <f>+'Staff Trends'!C27</f>
        <v>03.056.25</v>
      </c>
      <c r="I89" s="633" t="str">
        <f>+'Staff Trends'!E27</f>
        <v>Black Non-Hispanic</v>
      </c>
      <c r="J89" s="656">
        <f>+'Staff Trends'!J27</f>
        <v>6</v>
      </c>
      <c r="K89" s="656"/>
      <c r="L89" s="636"/>
      <c r="M89" s="636">
        <f>+'Staff Trends'!M27</f>
        <v>0</v>
      </c>
      <c r="N89" s="636">
        <f>+'Staff Trends'!N27</f>
        <v>0</v>
      </c>
    </row>
    <row r="90" spans="1:14">
      <c r="A90">
        <v>87</v>
      </c>
      <c r="B90">
        <v>98</v>
      </c>
      <c r="C90" s="633" t="str">
        <f>+'Campus Selector'!$G$3</f>
        <v>Canton</v>
      </c>
      <c r="D90" s="634" t="s">
        <v>684</v>
      </c>
      <c r="E90" s="633" t="s">
        <v>248</v>
      </c>
      <c r="F90" s="633">
        <v>8</v>
      </c>
      <c r="G90" s="633">
        <f>+'Staff Trends'!B28</f>
        <v>57</v>
      </c>
      <c r="H90" s="633" t="str">
        <f>+'Staff Trends'!C28</f>
        <v>03.057.25</v>
      </c>
      <c r="I90" s="633" t="str">
        <f>+'Staff Trends'!E28</f>
        <v>Hispanic</v>
      </c>
      <c r="J90" s="656">
        <f>+'Staff Trends'!J28</f>
        <v>0</v>
      </c>
      <c r="K90" s="656"/>
      <c r="L90" s="636"/>
      <c r="M90" s="636">
        <f>+'Staff Trends'!M28</f>
        <v>0</v>
      </c>
      <c r="N90" s="636">
        <f>+'Staff Trends'!N28</f>
        <v>0</v>
      </c>
    </row>
    <row r="91" spans="1:14">
      <c r="A91">
        <v>88</v>
      </c>
      <c r="B91">
        <v>99</v>
      </c>
      <c r="C91" s="633" t="str">
        <f>+'Campus Selector'!$G$3</f>
        <v>Canton</v>
      </c>
      <c r="D91" s="634" t="s">
        <v>684</v>
      </c>
      <c r="E91" s="633" t="s">
        <v>248</v>
      </c>
      <c r="F91" s="633">
        <v>9</v>
      </c>
      <c r="G91" s="633">
        <f>+'Staff Trends'!B29</f>
        <v>58</v>
      </c>
      <c r="H91" s="633" t="str">
        <f>+'Staff Trends'!C29</f>
        <v>03.058.25</v>
      </c>
      <c r="I91" s="633" t="str">
        <f>+'Staff Trends'!E29</f>
        <v>Asian/Pacific Islander</v>
      </c>
      <c r="J91" s="656">
        <f>+'Staff Trends'!J29</f>
        <v>2</v>
      </c>
      <c r="K91" s="656"/>
      <c r="L91" s="636"/>
      <c r="M91" s="636">
        <f>+'Staff Trends'!M29</f>
        <v>0</v>
      </c>
      <c r="N91" s="636">
        <f>+'Staff Trends'!N29</f>
        <v>0</v>
      </c>
    </row>
    <row r="92" spans="1:14">
      <c r="A92">
        <v>89</v>
      </c>
      <c r="B92">
        <v>100</v>
      </c>
      <c r="C92" s="633" t="str">
        <f>+'Campus Selector'!$G$3</f>
        <v>Canton</v>
      </c>
      <c r="D92" s="634" t="s">
        <v>684</v>
      </c>
      <c r="E92" s="633" t="s">
        <v>248</v>
      </c>
      <c r="F92" s="633">
        <v>10</v>
      </c>
      <c r="G92" s="633">
        <f>+'Staff Trends'!B30</f>
        <v>59</v>
      </c>
      <c r="H92" s="633" t="str">
        <f>+'Staff Trends'!C30</f>
        <v>03.059.25</v>
      </c>
      <c r="I92" s="633" t="str">
        <f>+'Staff Trends'!E30</f>
        <v>Native American/Alaskan</v>
      </c>
      <c r="J92" s="656">
        <f>+'Staff Trends'!J30</f>
        <v>1</v>
      </c>
      <c r="K92" s="656"/>
      <c r="L92" s="636"/>
      <c r="M92" s="636">
        <f>+'Staff Trends'!M30</f>
        <v>0</v>
      </c>
      <c r="N92" s="636">
        <f>+'Staff Trends'!N30</f>
        <v>0</v>
      </c>
    </row>
    <row r="93" spans="1:14">
      <c r="A93">
        <v>90</v>
      </c>
      <c r="B93">
        <v>101</v>
      </c>
      <c r="C93" s="633" t="str">
        <f>+'Campus Selector'!$G$3</f>
        <v>Canton</v>
      </c>
      <c r="D93" s="634" t="s">
        <v>684</v>
      </c>
      <c r="E93" s="633" t="s">
        <v>248</v>
      </c>
      <c r="F93" s="633">
        <v>11</v>
      </c>
      <c r="G93" s="633">
        <f>+'Staff Trends'!B31</f>
        <v>60</v>
      </c>
      <c r="H93" s="633" t="str">
        <f>+'Staff Trends'!C31</f>
        <v>03.060.25</v>
      </c>
      <c r="I93" s="633" t="str">
        <f>+'Staff Trends'!E31</f>
        <v>Two or More Races</v>
      </c>
      <c r="J93" s="656">
        <f>+'Staff Trends'!J31</f>
        <v>0</v>
      </c>
      <c r="K93" s="656"/>
      <c r="L93" s="636"/>
      <c r="M93" s="636">
        <f>+'Staff Trends'!M31</f>
        <v>0</v>
      </c>
      <c r="N93" s="636">
        <f>+'Staff Trends'!N31</f>
        <v>0</v>
      </c>
    </row>
    <row r="94" spans="1:14">
      <c r="A94">
        <v>91</v>
      </c>
      <c r="B94">
        <v>102</v>
      </c>
      <c r="C94" s="633" t="str">
        <f>+'Campus Selector'!$G$3</f>
        <v>Canton</v>
      </c>
      <c r="D94" s="634" t="s">
        <v>684</v>
      </c>
      <c r="E94" s="633" t="s">
        <v>248</v>
      </c>
      <c r="F94" s="633">
        <v>12</v>
      </c>
      <c r="G94" s="633">
        <f>+'Staff Trends'!B33</f>
        <v>61</v>
      </c>
      <c r="H94" s="633" t="str">
        <f>+'Staff Trends'!C33</f>
        <v>03.061.25</v>
      </c>
      <c r="I94" s="633" t="str">
        <f>+'Staff Trends'!E33</f>
        <v>Non-Resident Alien</v>
      </c>
      <c r="J94" s="656">
        <f>+'Staff Trends'!J33</f>
        <v>1</v>
      </c>
      <c r="K94" s="656"/>
      <c r="L94" s="636"/>
      <c r="M94" s="636">
        <f>+'Staff Trends'!M33</f>
        <v>0</v>
      </c>
      <c r="N94" s="636">
        <f>+'Staff Trends'!N33</f>
        <v>0</v>
      </c>
    </row>
    <row r="95" spans="1:14">
      <c r="A95">
        <v>92</v>
      </c>
      <c r="B95">
        <v>103</v>
      </c>
      <c r="C95" s="633" t="str">
        <f>+'Campus Selector'!$G$3</f>
        <v>Canton</v>
      </c>
      <c r="D95" s="634" t="s">
        <v>684</v>
      </c>
      <c r="E95" s="633" t="s">
        <v>248</v>
      </c>
      <c r="F95" s="633">
        <v>13</v>
      </c>
      <c r="G95" s="633">
        <f>+'Staff Trends'!B34</f>
        <v>62</v>
      </c>
      <c r="H95" s="633" t="str">
        <f>+'Staff Trends'!C34</f>
        <v>03.062.25</v>
      </c>
      <c r="I95" s="633" t="str">
        <f>+'Staff Trends'!E34</f>
        <v>Unknown</v>
      </c>
      <c r="J95" s="656">
        <f>+'Staff Trends'!J34</f>
        <v>0</v>
      </c>
      <c r="K95" s="656"/>
      <c r="L95" s="636"/>
      <c r="M95" s="636">
        <f>+'Staff Trends'!M34</f>
        <v>0</v>
      </c>
      <c r="N95" s="636">
        <f>+'Staff Trends'!N34</f>
        <v>0</v>
      </c>
    </row>
    <row r="96" spans="1:14">
      <c r="A96">
        <v>93</v>
      </c>
      <c r="B96">
        <v>104</v>
      </c>
      <c r="C96" s="633" t="str">
        <f>+'Campus Selector'!$G$3</f>
        <v>Canton</v>
      </c>
      <c r="D96" s="634" t="s">
        <v>684</v>
      </c>
      <c r="E96" s="633" t="s">
        <v>248</v>
      </c>
      <c r="F96" s="633">
        <v>16</v>
      </c>
      <c r="G96" s="633">
        <f>+'Staff Trends'!B44</f>
        <v>63</v>
      </c>
      <c r="H96" s="633" t="str">
        <f>+'Staff Trends'!C44</f>
        <v>03.063.25</v>
      </c>
      <c r="I96" s="633" t="str">
        <f>+'Staff Trends'!E44</f>
        <v>Male</v>
      </c>
      <c r="J96" s="656">
        <f>+'Staff Trends'!J44</f>
        <v>128</v>
      </c>
      <c r="K96" s="656"/>
      <c r="L96" s="636"/>
      <c r="M96" s="636">
        <f>+'Staff Trends'!M44</f>
        <v>128</v>
      </c>
      <c r="N96" s="636">
        <f>+'Staff Trends'!N44</f>
        <v>130</v>
      </c>
    </row>
    <row r="97" spans="1:14">
      <c r="A97">
        <v>94</v>
      </c>
      <c r="B97">
        <v>105</v>
      </c>
      <c r="C97" s="633" t="str">
        <f>+'Campus Selector'!$G$3</f>
        <v>Canton</v>
      </c>
      <c r="D97" s="634" t="s">
        <v>684</v>
      </c>
      <c r="E97" s="633" t="s">
        <v>248</v>
      </c>
      <c r="F97" s="633">
        <v>17</v>
      </c>
      <c r="G97" s="633">
        <f>+'Staff Trends'!B45</f>
        <v>64</v>
      </c>
      <c r="H97" s="633" t="str">
        <f>+'Staff Trends'!C45</f>
        <v>03.064.25</v>
      </c>
      <c r="I97" s="633" t="str">
        <f>+'Staff Trends'!E45</f>
        <v>Female</v>
      </c>
      <c r="J97" s="656">
        <f>+'Staff Trends'!J45</f>
        <v>133</v>
      </c>
      <c r="K97" s="656"/>
      <c r="L97" s="636"/>
      <c r="M97" s="636">
        <f>+'Staff Trends'!M45</f>
        <v>133</v>
      </c>
      <c r="N97" s="636">
        <f>+'Staff Trends'!N45</f>
        <v>135</v>
      </c>
    </row>
    <row r="98" spans="1:14">
      <c r="A98">
        <v>95</v>
      </c>
      <c r="D98" s="634"/>
      <c r="J98" s="656"/>
      <c r="K98" s="656"/>
      <c r="L98" s="636"/>
      <c r="M98" s="636"/>
      <c r="N98" s="636"/>
    </row>
    <row r="99" spans="1:14">
      <c r="A99">
        <v>96</v>
      </c>
      <c r="B99">
        <v>112</v>
      </c>
      <c r="C99" s="633" t="str">
        <f>+'Campus Selector'!$G$3</f>
        <v>Canton</v>
      </c>
      <c r="D99" s="634" t="s">
        <v>685</v>
      </c>
      <c r="E99" s="633" t="s">
        <v>290</v>
      </c>
      <c r="F99" s="633">
        <v>1</v>
      </c>
      <c r="G99" s="633">
        <f>+Retention!B12</f>
        <v>134</v>
      </c>
      <c r="H99" s="633" t="str">
        <f>+Retention!C12</f>
        <v>20.134.25</v>
      </c>
      <c r="I99" s="633" t="str">
        <f>+Retention!E12</f>
        <v>First-Time, Full-Time In a Program Cohort</v>
      </c>
      <c r="J99" s="656">
        <f>+Retention!K12</f>
        <v>550</v>
      </c>
      <c r="K99" s="656"/>
      <c r="L99" s="636">
        <f>+Retention!M12</f>
        <v>726</v>
      </c>
      <c r="M99" s="636">
        <f>+Retention!N12</f>
        <v>715</v>
      </c>
      <c r="N99" s="636">
        <f>+Retention!O12</f>
        <v>774</v>
      </c>
    </row>
    <row r="100" spans="1:14">
      <c r="A100">
        <v>97</v>
      </c>
      <c r="B100">
        <v>113</v>
      </c>
      <c r="C100" s="633" t="str">
        <f>+'Campus Selector'!$G$3</f>
        <v>Canton</v>
      </c>
      <c r="D100" s="634" t="s">
        <v>685</v>
      </c>
      <c r="E100" s="633" t="s">
        <v>290</v>
      </c>
      <c r="F100" s="633">
        <v>2</v>
      </c>
      <c r="G100" s="633">
        <f>+Retention!B13</f>
        <v>135</v>
      </c>
      <c r="H100" s="633" t="str">
        <f>+Retention!C13</f>
        <v>20.135.25</v>
      </c>
      <c r="I100" s="633" t="str">
        <f>+Retention!E13</f>
        <v>Campus First Year Retention Rate</v>
      </c>
      <c r="J100" s="633">
        <f>+Retention!K13</f>
        <v>0.66400000000000003</v>
      </c>
      <c r="L100" s="636">
        <f>+Retention!M13</f>
        <v>0.629</v>
      </c>
      <c r="M100" s="636">
        <f>+Retention!N13</f>
        <v>0.71</v>
      </c>
      <c r="N100" s="636">
        <f>+Retention!O13</f>
        <v>0.73</v>
      </c>
    </row>
    <row r="101" spans="1:14">
      <c r="A101">
        <v>98</v>
      </c>
      <c r="B101">
        <v>114</v>
      </c>
      <c r="C101" s="633" t="str">
        <f>+'Campus Selector'!$G$3</f>
        <v>Canton</v>
      </c>
      <c r="D101" s="634" t="s">
        <v>685</v>
      </c>
      <c r="E101" s="633" t="s">
        <v>290</v>
      </c>
      <c r="F101" s="633">
        <v>3</v>
      </c>
      <c r="G101" s="633">
        <f>+Retention!B26</f>
        <v>142</v>
      </c>
      <c r="H101" s="633" t="str">
        <f>+Retention!C26</f>
        <v>20.142.25</v>
      </c>
      <c r="I101" s="633" t="str">
        <f>+Retention!E26</f>
        <v>Transfer, Full-Time In a Program Cohort</v>
      </c>
      <c r="J101" s="656">
        <f>+Retention!K26</f>
        <v>203</v>
      </c>
      <c r="K101" s="656"/>
      <c r="L101" s="636">
        <f>+Retention!M26</f>
        <v>248</v>
      </c>
      <c r="M101" s="636">
        <f>+Retention!N26</f>
        <v>272</v>
      </c>
      <c r="N101" s="636">
        <f>+Retention!O26</f>
        <v>294</v>
      </c>
    </row>
    <row r="102" spans="1:14">
      <c r="A102">
        <v>99</v>
      </c>
      <c r="B102">
        <v>115</v>
      </c>
      <c r="C102" s="633" t="str">
        <f>+'Campus Selector'!$G$3</f>
        <v>Canton</v>
      </c>
      <c r="D102" s="634" t="s">
        <v>685</v>
      </c>
      <c r="E102" s="633" t="s">
        <v>290</v>
      </c>
      <c r="F102" s="633">
        <v>4</v>
      </c>
      <c r="G102" s="633">
        <f>+Retention!B27</f>
        <v>143</v>
      </c>
      <c r="H102" s="633" t="str">
        <f>+Retention!C27</f>
        <v>20.143.25</v>
      </c>
      <c r="I102" s="633" t="str">
        <f>+Retention!E27</f>
        <v>Campus First Year Retention Rate</v>
      </c>
      <c r="J102" s="633">
        <f>+Retention!K27</f>
        <v>0.68</v>
      </c>
      <c r="L102" s="636">
        <f>+Retention!M27</f>
        <v>0.76200000000000001</v>
      </c>
      <c r="M102" s="636">
        <f>+Retention!N27</f>
        <v>0.75</v>
      </c>
      <c r="N102" s="636">
        <f>+Retention!O27</f>
        <v>0.78</v>
      </c>
    </row>
    <row r="103" spans="1:14">
      <c r="A103">
        <v>100</v>
      </c>
      <c r="D103" s="634"/>
      <c r="L103" s="636"/>
      <c r="M103" s="636"/>
      <c r="N103" s="636"/>
    </row>
    <row r="104" spans="1:14">
      <c r="A104">
        <v>101</v>
      </c>
      <c r="B104">
        <v>120</v>
      </c>
      <c r="C104" s="633" t="str">
        <f>+'Campus Selector'!$G$3</f>
        <v>Canton</v>
      </c>
      <c r="D104" s="634" t="s">
        <v>686</v>
      </c>
      <c r="E104" s="633" t="s">
        <v>320</v>
      </c>
      <c r="F104" s="633">
        <v>1</v>
      </c>
      <c r="G104" s="633">
        <f>+'First-Time Grad Rates'!B14</f>
        <v>301</v>
      </c>
      <c r="H104" s="633" t="str">
        <f>+'First-Time Grad Rates'!C14</f>
        <v>09.301.25</v>
      </c>
      <c r="I104" s="633" t="str">
        <f>+'First-Time Grad Rates'!E14</f>
        <v>Initial Cohort</v>
      </c>
      <c r="J104" s="656">
        <f>+'First-Time Grad Rates'!K14</f>
        <v>563</v>
      </c>
      <c r="K104" s="656"/>
      <c r="L104" s="636">
        <f>+'First-Time Grad Rates'!N14</f>
        <v>585</v>
      </c>
      <c r="M104" s="636">
        <f>+'First-Time Grad Rates'!O14</f>
        <v>412</v>
      </c>
      <c r="N104" s="636">
        <f>+'First-Time Grad Rates'!P14</f>
        <v>485</v>
      </c>
    </row>
    <row r="105" spans="1:14">
      <c r="A105">
        <v>102</v>
      </c>
      <c r="B105">
        <v>121</v>
      </c>
      <c r="C105" s="633" t="str">
        <f>+'Campus Selector'!$G$3</f>
        <v>Canton</v>
      </c>
      <c r="D105" s="634" t="s">
        <v>686</v>
      </c>
      <c r="E105" s="633" t="s">
        <v>320</v>
      </c>
      <c r="F105" s="633">
        <v>2</v>
      </c>
      <c r="G105" s="633">
        <f>+'First-Time Grad Rates'!B15</f>
        <v>136</v>
      </c>
      <c r="H105" s="633" t="str">
        <f>+'First-Time Grad Rates'!C15</f>
        <v>09.136.25</v>
      </c>
      <c r="I105" s="633" t="str">
        <f>+'First-Time Grad Rates'!E15</f>
        <v>Two-Year</v>
      </c>
      <c r="J105" s="633">
        <f>+'First-Time Grad Rates'!K15</f>
        <v>0.17939609236234458</v>
      </c>
      <c r="L105" s="636">
        <f>+'First-Time Grad Rates'!N15</f>
        <v>0.17100000000000001</v>
      </c>
      <c r="M105" s="636">
        <f>+'First-Time Grad Rates'!O15</f>
        <v>0.2</v>
      </c>
      <c r="N105" s="636">
        <f>+'First-Time Grad Rates'!P15</f>
        <v>0.28000000000000003</v>
      </c>
    </row>
    <row r="106" spans="1:14">
      <c r="A106">
        <v>103</v>
      </c>
      <c r="B106">
        <v>122</v>
      </c>
      <c r="C106" s="633" t="str">
        <f>+'Campus Selector'!$G$3</f>
        <v>Canton</v>
      </c>
      <c r="D106" s="634" t="s">
        <v>686</v>
      </c>
      <c r="E106" s="633" t="s">
        <v>320</v>
      </c>
      <c r="F106" s="633">
        <v>3</v>
      </c>
      <c r="G106" s="633">
        <f>+'First-Time Grad Rates'!B16</f>
        <v>137</v>
      </c>
      <c r="H106" s="633" t="str">
        <f>+'First-Time Grad Rates'!C16</f>
        <v>09.137.25</v>
      </c>
      <c r="I106" s="633" t="str">
        <f>+'First-Time Grad Rates'!E16</f>
        <v>Three-Year</v>
      </c>
      <c r="J106" s="633">
        <f>+'First-Time Grad Rates'!K16</f>
        <v>0.29129662522202487</v>
      </c>
      <c r="L106" s="636">
        <f>+'First-Time Grad Rates'!N16</f>
        <v>0.27400000000000002</v>
      </c>
      <c r="M106" s="636">
        <f>+'First-Time Grad Rates'!O16</f>
        <v>0.3</v>
      </c>
      <c r="N106" s="636">
        <f>+'First-Time Grad Rates'!P16</f>
        <v>0.35</v>
      </c>
    </row>
    <row r="107" spans="1:14">
      <c r="A107">
        <v>104</v>
      </c>
      <c r="B107">
        <v>123</v>
      </c>
      <c r="C107" s="633" t="str">
        <f>+'Campus Selector'!$G$3</f>
        <v>Canton</v>
      </c>
      <c r="D107" s="634" t="s">
        <v>686</v>
      </c>
      <c r="E107" s="633" t="s">
        <v>320</v>
      </c>
      <c r="F107" s="633">
        <v>4</v>
      </c>
      <c r="G107" s="633">
        <f>+'First-Time Grad Rates'!B17</f>
        <v>138</v>
      </c>
      <c r="H107" s="633" t="str">
        <f>+'First-Time Grad Rates'!C17</f>
        <v>09.138.25</v>
      </c>
      <c r="I107" s="633" t="str">
        <f>+'First-Time Grad Rates'!E17</f>
        <v>Four-Year</v>
      </c>
      <c r="J107" s="633">
        <f>+'First-Time Grad Rates'!K17</f>
        <v>0.31793960923623443</v>
      </c>
      <c r="L107" s="636">
        <f>+'First-Time Grad Rates'!N17</f>
        <v>0.29399999999999998</v>
      </c>
      <c r="M107" s="636">
        <f>+'First-Time Grad Rates'!O17</f>
        <v>0.32</v>
      </c>
      <c r="N107" s="636">
        <f>+'First-Time Grad Rates'!P17</f>
        <v>0.37</v>
      </c>
    </row>
    <row r="108" spans="1:14">
      <c r="A108">
        <v>105</v>
      </c>
      <c r="B108">
        <v>124</v>
      </c>
      <c r="C108" s="633" t="str">
        <f>+'Campus Selector'!$G$3</f>
        <v>Canton</v>
      </c>
      <c r="D108" s="634" t="s">
        <v>686</v>
      </c>
      <c r="E108" s="633" t="s">
        <v>320</v>
      </c>
      <c r="F108" s="633">
        <v>5</v>
      </c>
      <c r="G108" s="633">
        <f>+'First-Time Grad Rates'!B30</f>
        <v>300</v>
      </c>
      <c r="H108" s="633" t="str">
        <f>+'First-Time Grad Rates'!C30</f>
        <v>09.300.25</v>
      </c>
      <c r="I108" s="633" t="str">
        <f>+'First-Time Grad Rates'!E30</f>
        <v>Initial Cohort</v>
      </c>
      <c r="J108" s="656">
        <f>+'First-Time Grad Rates'!K30</f>
        <v>75</v>
      </c>
      <c r="K108" s="656"/>
      <c r="L108" s="636">
        <f>+'First-Time Grad Rates'!N30</f>
        <v>94</v>
      </c>
      <c r="M108" s="636">
        <f>+'First-Time Grad Rates'!O30</f>
        <v>126</v>
      </c>
      <c r="N108" s="636">
        <f>+'First-Time Grad Rates'!P30</f>
        <v>131</v>
      </c>
    </row>
    <row r="109" spans="1:14">
      <c r="A109">
        <v>106</v>
      </c>
      <c r="B109">
        <v>125</v>
      </c>
      <c r="C109" s="633" t="str">
        <f>+'Campus Selector'!$G$3</f>
        <v>Canton</v>
      </c>
      <c r="D109" s="634" t="s">
        <v>686</v>
      </c>
      <c r="E109" s="633" t="s">
        <v>320</v>
      </c>
      <c r="F109" s="633">
        <v>6</v>
      </c>
      <c r="G109" s="633">
        <f>+'First-Time Grad Rates'!B31</f>
        <v>139</v>
      </c>
      <c r="H109" s="633" t="str">
        <f>+'First-Time Grad Rates'!C31</f>
        <v>09.139.25</v>
      </c>
      <c r="I109" s="633" t="str">
        <f>+'First-Time Grad Rates'!E31</f>
        <v>Four-Year</v>
      </c>
      <c r="J109" s="633">
        <f>+'First-Time Grad Rates'!K31</f>
        <v>0.18666666666666668</v>
      </c>
      <c r="L109" s="636">
        <f>+'First-Time Grad Rates'!N31</f>
        <v>0.27700000000000002</v>
      </c>
      <c r="M109" s="636">
        <f>+'First-Time Grad Rates'!O31</f>
        <v>0.3</v>
      </c>
      <c r="N109" s="636">
        <f>+'First-Time Grad Rates'!P31</f>
        <v>0.35</v>
      </c>
    </row>
    <row r="110" spans="1:14">
      <c r="A110">
        <v>107</v>
      </c>
      <c r="B110">
        <v>126</v>
      </c>
      <c r="C110" s="633" t="str">
        <f>+'Campus Selector'!$G$3</f>
        <v>Canton</v>
      </c>
      <c r="D110" s="634" t="s">
        <v>686</v>
      </c>
      <c r="E110" s="633" t="s">
        <v>320</v>
      </c>
      <c r="F110" s="633">
        <v>7</v>
      </c>
      <c r="G110" s="633">
        <f>+'First-Time Grad Rates'!B32</f>
        <v>140</v>
      </c>
      <c r="H110" s="633" t="str">
        <f>+'First-Time Grad Rates'!C32</f>
        <v>09.140.25</v>
      </c>
      <c r="I110" s="633" t="str">
        <f>+'First-Time Grad Rates'!E32</f>
        <v>Five-Year</v>
      </c>
      <c r="J110" s="633">
        <f>+'First-Time Grad Rates'!K32</f>
        <v>0.26666666666666666</v>
      </c>
      <c r="L110" s="636">
        <f>+'First-Time Grad Rates'!N32</f>
        <v>0.34</v>
      </c>
      <c r="M110" s="636">
        <f>+'First-Time Grad Rates'!O32</f>
        <v>0.38</v>
      </c>
      <c r="N110" s="636">
        <f>+'First-Time Grad Rates'!P32</f>
        <v>0.4</v>
      </c>
    </row>
    <row r="111" spans="1:14">
      <c r="A111">
        <v>108</v>
      </c>
      <c r="B111">
        <v>127</v>
      </c>
      <c r="C111" s="633" t="str">
        <f>+'Campus Selector'!$G$3</f>
        <v>Canton</v>
      </c>
      <c r="D111" s="634" t="s">
        <v>686</v>
      </c>
      <c r="E111" s="633" t="s">
        <v>320</v>
      </c>
      <c r="F111" s="633">
        <v>8</v>
      </c>
      <c r="G111" s="633">
        <f>+'First-Time Grad Rates'!B33</f>
        <v>141</v>
      </c>
      <c r="H111" s="633" t="str">
        <f>+'First-Time Grad Rates'!C33</f>
        <v>09.141.25</v>
      </c>
      <c r="I111" s="633" t="str">
        <f>+'First-Time Grad Rates'!E33</f>
        <v>Six-Year Graduation Rate</v>
      </c>
      <c r="J111" s="633">
        <f>+'First-Time Grad Rates'!K33</f>
        <v>0.30666666666666664</v>
      </c>
      <c r="L111" s="636">
        <f>+'First-Time Grad Rates'!N33</f>
        <v>0.34</v>
      </c>
      <c r="M111" s="636">
        <f>+'First-Time Grad Rates'!O33</f>
        <v>0.4</v>
      </c>
      <c r="N111" s="636">
        <f>+'First-Time Grad Rates'!P33</f>
        <v>0.42</v>
      </c>
    </row>
    <row r="112" spans="1:14">
      <c r="A112">
        <v>109</v>
      </c>
      <c r="D112" s="634"/>
      <c r="L112" s="636"/>
      <c r="M112" s="636"/>
      <c r="N112" s="636"/>
    </row>
    <row r="113" spans="1:14">
      <c r="A113">
        <v>110</v>
      </c>
      <c r="B113">
        <v>139</v>
      </c>
      <c r="C113" s="633" t="str">
        <f>+'Campus Selector'!$G$3</f>
        <v>Canton</v>
      </c>
      <c r="D113" s="634" t="s">
        <v>687</v>
      </c>
      <c r="E113" s="633" t="s">
        <v>291</v>
      </c>
      <c r="F113" s="633">
        <v>1</v>
      </c>
      <c r="G113" s="633">
        <f>+'Transfer Grad Rates'!B14</f>
        <v>303</v>
      </c>
      <c r="H113" s="633" t="str">
        <f>+'Transfer Grad Rates'!C14</f>
        <v>10.303.25</v>
      </c>
      <c r="I113" s="633" t="str">
        <f>+'Transfer Grad Rates'!E14</f>
        <v>Initial Cohort</v>
      </c>
      <c r="J113" s="656">
        <f>+'Transfer Grad Rates'!K14</f>
        <v>149</v>
      </c>
      <c r="K113" s="656"/>
      <c r="L113" s="636">
        <f>+'Transfer Grad Rates'!N14</f>
        <v>110</v>
      </c>
      <c r="M113" s="636">
        <f>+'Transfer Grad Rates'!O14</f>
        <v>96</v>
      </c>
      <c r="N113" s="636">
        <f>+'Transfer Grad Rates'!P14</f>
        <v>100</v>
      </c>
    </row>
    <row r="114" spans="1:14">
      <c r="A114">
        <v>111</v>
      </c>
      <c r="B114">
        <v>140</v>
      </c>
      <c r="C114" s="633" t="str">
        <f>+'Campus Selector'!$G$3</f>
        <v>Canton</v>
      </c>
      <c r="D114" s="634" t="s">
        <v>687</v>
      </c>
      <c r="E114" s="633" t="s">
        <v>291</v>
      </c>
      <c r="F114" s="634">
        <v>2</v>
      </c>
      <c r="G114" s="633">
        <f>+'Transfer Grad Rates'!B15</f>
        <v>144</v>
      </c>
      <c r="H114" s="633" t="str">
        <f>+'Transfer Grad Rates'!C15</f>
        <v>10.144.25</v>
      </c>
      <c r="I114" s="633" t="str">
        <f>+'Transfer Grad Rates'!E15</f>
        <v>One Year</v>
      </c>
      <c r="J114" s="633">
        <f>+'Transfer Grad Rates'!K15</f>
        <v>5.3691275167785234E-2</v>
      </c>
      <c r="L114" s="636">
        <f>+'Transfer Grad Rates'!N15</f>
        <v>0.1</v>
      </c>
      <c r="M114" s="636">
        <f>+'Transfer Grad Rates'!O15</f>
        <v>0.12</v>
      </c>
      <c r="N114" s="636">
        <f>+'Transfer Grad Rates'!P15</f>
        <v>0.12</v>
      </c>
    </row>
    <row r="115" spans="1:14">
      <c r="A115">
        <v>112</v>
      </c>
      <c r="B115">
        <v>141</v>
      </c>
      <c r="C115" s="633" t="str">
        <f>+'Campus Selector'!$G$3</f>
        <v>Canton</v>
      </c>
      <c r="D115" s="634" t="s">
        <v>687</v>
      </c>
      <c r="E115" s="633" t="s">
        <v>291</v>
      </c>
      <c r="F115" s="633">
        <v>3</v>
      </c>
      <c r="G115" s="633">
        <f>+'Transfer Grad Rates'!B16</f>
        <v>145</v>
      </c>
      <c r="H115" s="633" t="str">
        <f>+'Transfer Grad Rates'!C16</f>
        <v>10.145.25</v>
      </c>
      <c r="I115" s="633" t="str">
        <f>+'Transfer Grad Rates'!E16</f>
        <v>Two Year</v>
      </c>
      <c r="J115" s="633">
        <f>+'Transfer Grad Rates'!K16</f>
        <v>0.40939597315436244</v>
      </c>
      <c r="L115" s="636">
        <f>+'Transfer Grad Rates'!N16</f>
        <v>0.49109999999999998</v>
      </c>
      <c r="M115" s="636">
        <f>+'Transfer Grad Rates'!O16</f>
        <v>0.52</v>
      </c>
      <c r="N115" s="636">
        <f>+'Transfer Grad Rates'!P16</f>
        <v>0.53</v>
      </c>
    </row>
    <row r="116" spans="1:14">
      <c r="A116">
        <v>113</v>
      </c>
      <c r="B116">
        <v>142</v>
      </c>
      <c r="C116" s="633" t="str">
        <f>+'Campus Selector'!$G$3</f>
        <v>Canton</v>
      </c>
      <c r="D116" s="634" t="s">
        <v>687</v>
      </c>
      <c r="E116" s="633" t="s">
        <v>291</v>
      </c>
      <c r="F116" s="633">
        <v>4</v>
      </c>
      <c r="G116" s="633">
        <f>+'Transfer Grad Rates'!B17</f>
        <v>146</v>
      </c>
      <c r="H116" s="633" t="str">
        <f>+'Transfer Grad Rates'!C17</f>
        <v>10.146.25</v>
      </c>
      <c r="I116" s="633" t="str">
        <f>+'Transfer Grad Rates'!E17</f>
        <v>Three Year</v>
      </c>
      <c r="J116" s="633">
        <f>+'Transfer Grad Rates'!K17</f>
        <v>0.52348993288590606</v>
      </c>
      <c r="L116" s="636">
        <f>+'Transfer Grad Rates'!N17</f>
        <v>0.6</v>
      </c>
      <c r="M116" s="636">
        <f>+'Transfer Grad Rates'!O17</f>
        <v>0.62</v>
      </c>
      <c r="N116" s="636">
        <f>+'Transfer Grad Rates'!P17</f>
        <v>0.63</v>
      </c>
    </row>
    <row r="117" spans="1:14">
      <c r="A117">
        <v>114</v>
      </c>
      <c r="B117">
        <v>143</v>
      </c>
      <c r="C117" s="633" t="str">
        <f>+'Campus Selector'!$G$3</f>
        <v>Canton</v>
      </c>
      <c r="D117" s="634" t="s">
        <v>687</v>
      </c>
      <c r="E117" s="633" t="s">
        <v>291</v>
      </c>
      <c r="F117" s="633">
        <v>13</v>
      </c>
      <c r="G117" s="633">
        <f>+'Transfer Grad Rates'!B26</f>
        <v>302</v>
      </c>
      <c r="H117" s="633" t="str">
        <f>+'Transfer Grad Rates'!C26</f>
        <v>10.302.25</v>
      </c>
      <c r="I117" s="633" t="str">
        <f>+'Transfer Grad Rates'!E26</f>
        <v>Initial Cohort</v>
      </c>
      <c r="J117" s="656">
        <f>+'Transfer Grad Rates'!K26</f>
        <v>90</v>
      </c>
      <c r="K117" s="656"/>
      <c r="L117" s="636">
        <f>+'Transfer Grad Rates'!N26</f>
        <v>119</v>
      </c>
      <c r="M117" s="636">
        <f>+'Transfer Grad Rates'!O26</f>
        <v>135</v>
      </c>
      <c r="N117" s="636">
        <f>+'Transfer Grad Rates'!P26</f>
        <v>172</v>
      </c>
    </row>
    <row r="118" spans="1:14">
      <c r="A118">
        <v>115</v>
      </c>
      <c r="B118">
        <v>144</v>
      </c>
      <c r="C118" s="633" t="str">
        <f>+'Campus Selector'!$G$3</f>
        <v>Canton</v>
      </c>
      <c r="D118" s="634" t="s">
        <v>687</v>
      </c>
      <c r="E118" s="633" t="s">
        <v>291</v>
      </c>
      <c r="F118" s="633">
        <v>14</v>
      </c>
      <c r="G118" s="633">
        <f>+'Transfer Grad Rates'!B27</f>
        <v>148</v>
      </c>
      <c r="H118" s="633" t="str">
        <f>+'Transfer Grad Rates'!C27</f>
        <v>10.148.25</v>
      </c>
      <c r="I118" s="633" t="str">
        <f>+'Transfer Grad Rates'!E27</f>
        <v>Two Year</v>
      </c>
      <c r="J118" s="633">
        <f>+'Transfer Grad Rates'!K27</f>
        <v>0.23333333333333334</v>
      </c>
      <c r="L118" s="636">
        <f>+'Transfer Grad Rates'!N27</f>
        <v>0.2</v>
      </c>
      <c r="M118" s="636">
        <f>+'Transfer Grad Rates'!O27</f>
        <v>0.22</v>
      </c>
      <c r="N118" s="636">
        <f>+'Transfer Grad Rates'!P27</f>
        <v>0.23</v>
      </c>
    </row>
    <row r="119" spans="1:14">
      <c r="A119">
        <v>116</v>
      </c>
      <c r="B119">
        <v>145</v>
      </c>
      <c r="C119" s="633" t="str">
        <f>+'Campus Selector'!$G$3</f>
        <v>Canton</v>
      </c>
      <c r="D119" s="634" t="s">
        <v>687</v>
      </c>
      <c r="E119" s="633" t="s">
        <v>291</v>
      </c>
      <c r="F119" s="633">
        <v>15</v>
      </c>
      <c r="G119" s="633">
        <f>+'Transfer Grad Rates'!B28</f>
        <v>149</v>
      </c>
      <c r="H119" s="633" t="str">
        <f>+'Transfer Grad Rates'!C28</f>
        <v>10.149.25</v>
      </c>
      <c r="I119" s="633" t="str">
        <f>+'Transfer Grad Rates'!E28</f>
        <v>Three Year</v>
      </c>
      <c r="J119" s="633">
        <f>+'Transfer Grad Rates'!K28</f>
        <v>0.52222222222222225</v>
      </c>
      <c r="L119" s="636">
        <f>+'Transfer Grad Rates'!N28</f>
        <v>0.45800000000000002</v>
      </c>
      <c r="M119" s="636">
        <f>+'Transfer Grad Rates'!O28</f>
        <v>0.47</v>
      </c>
      <c r="N119" s="636">
        <f>+'Transfer Grad Rates'!P28</f>
        <v>0.48</v>
      </c>
    </row>
    <row r="120" spans="1:14">
      <c r="A120">
        <v>117</v>
      </c>
      <c r="B120">
        <v>146</v>
      </c>
      <c r="C120" s="633" t="str">
        <f>+'Campus Selector'!$G$3</f>
        <v>Canton</v>
      </c>
      <c r="D120" s="634" t="s">
        <v>687</v>
      </c>
      <c r="E120" s="633" t="s">
        <v>291</v>
      </c>
      <c r="F120" s="633">
        <v>16</v>
      </c>
      <c r="G120" s="633">
        <f>+'Transfer Grad Rates'!B29</f>
        <v>150</v>
      </c>
      <c r="H120" s="633" t="str">
        <f>+'Transfer Grad Rates'!C29</f>
        <v>10.150.25</v>
      </c>
      <c r="I120" s="633" t="str">
        <f>+'Transfer Grad Rates'!E29</f>
        <v>Four Year</v>
      </c>
      <c r="J120" s="633">
        <f>+'Transfer Grad Rates'!K29</f>
        <v>0.57777777777777772</v>
      </c>
      <c r="L120" s="636">
        <f>+'Transfer Grad Rates'!N29</f>
        <v>0.58299999999999996</v>
      </c>
      <c r="M120" s="636">
        <f>+'Transfer Grad Rates'!O29</f>
        <v>0.59</v>
      </c>
      <c r="N120" s="636">
        <f>+'Transfer Grad Rates'!P29</f>
        <v>0.6</v>
      </c>
    </row>
    <row r="121" spans="1:14">
      <c r="A121">
        <v>118</v>
      </c>
      <c r="D121" s="634"/>
      <c r="L121" s="636"/>
      <c r="M121" s="636"/>
      <c r="N121" s="636"/>
    </row>
    <row r="122" spans="1:14">
      <c r="A122">
        <v>119</v>
      </c>
      <c r="B122">
        <v>154</v>
      </c>
      <c r="C122" s="633" t="str">
        <f>+'Campus Selector'!$G$3</f>
        <v>Canton</v>
      </c>
      <c r="D122" s="634" t="s">
        <v>688</v>
      </c>
      <c r="E122" s="633" t="s">
        <v>571</v>
      </c>
      <c r="F122" s="633">
        <v>1</v>
      </c>
      <c r="G122" s="633">
        <f>+'Time Credits to Degree'!B10</f>
        <v>2</v>
      </c>
      <c r="H122" s="633" t="str">
        <f>+'Time Credits to Degree'!C10</f>
        <v>01.002.25</v>
      </c>
      <c r="I122" s="633" t="str">
        <f>+'Time Credits to Degree'!E10</f>
        <v>First-time (Native)</v>
      </c>
      <c r="J122" s="659">
        <f>+'Time Credits to Degree'!K10</f>
        <v>3.1202749140893502</v>
      </c>
      <c r="K122" s="659"/>
      <c r="L122" s="635"/>
      <c r="M122" s="635">
        <f>+'Time Credits to Degree'!M10</f>
        <v>3.05</v>
      </c>
      <c r="N122" s="635">
        <f>+'Time Credits to Degree'!N10</f>
        <v>3</v>
      </c>
    </row>
    <row r="123" spans="1:14">
      <c r="A123">
        <v>120</v>
      </c>
      <c r="B123">
        <v>155</v>
      </c>
      <c r="C123" s="633" t="str">
        <f>+'Campus Selector'!$G$3</f>
        <v>Canton</v>
      </c>
      <c r="D123" s="634" t="s">
        <v>688</v>
      </c>
      <c r="E123" s="633" t="s">
        <v>571</v>
      </c>
      <c r="F123" s="633">
        <v>2</v>
      </c>
      <c r="G123" s="633">
        <f>+'Time Credits to Degree'!B11</f>
        <v>3</v>
      </c>
      <c r="H123" s="633" t="str">
        <f>+'Time Credits to Degree'!C11</f>
        <v>01.003.25</v>
      </c>
      <c r="I123" s="633" t="str">
        <f>+'Time Credits to Degree'!E11</f>
        <v>Transfers In</v>
      </c>
      <c r="J123" s="659">
        <f>+'Time Credits to Degree'!K11</f>
        <v>2.8259259259259299</v>
      </c>
      <c r="K123" s="659"/>
      <c r="L123" s="635"/>
      <c r="M123" s="635">
        <f>+'Time Credits to Degree'!M11</f>
        <v>2.6</v>
      </c>
      <c r="N123" s="635">
        <f>+'Time Credits to Degree'!N11</f>
        <v>2.5</v>
      </c>
    </row>
    <row r="124" spans="1:14">
      <c r="A124">
        <v>121</v>
      </c>
      <c r="B124">
        <v>156</v>
      </c>
      <c r="C124" s="633" t="str">
        <f>+'Campus Selector'!$G$3</f>
        <v>Canton</v>
      </c>
      <c r="D124" s="634" t="s">
        <v>688</v>
      </c>
      <c r="E124" s="633" t="s">
        <v>571</v>
      </c>
      <c r="F124" s="633">
        <v>3</v>
      </c>
      <c r="G124" s="633">
        <f>+'Time Credits to Degree'!B18</f>
        <v>5</v>
      </c>
      <c r="H124" s="633" t="str">
        <f>+'Time Credits to Degree'!C18</f>
        <v>01.005.25</v>
      </c>
      <c r="I124" s="633" t="str">
        <f>+'Time Credits to Degree'!E18</f>
        <v>First-time (Native)</v>
      </c>
      <c r="J124" s="633">
        <f>+'Time Credits to Degree'!K18</f>
        <v>70.920833333333306</v>
      </c>
      <c r="L124" s="635"/>
      <c r="M124" s="635">
        <f>+'Time Credits to Degree'!M18</f>
        <v>68</v>
      </c>
      <c r="N124" s="635">
        <f>+'Time Credits to Degree'!N18</f>
        <v>66</v>
      </c>
    </row>
    <row r="125" spans="1:14">
      <c r="A125">
        <v>122</v>
      </c>
      <c r="B125">
        <v>157</v>
      </c>
      <c r="C125" s="633" t="str">
        <f>+'Campus Selector'!$G$3</f>
        <v>Canton</v>
      </c>
      <c r="D125" s="634" t="s">
        <v>688</v>
      </c>
      <c r="E125" s="633" t="s">
        <v>571</v>
      </c>
      <c r="F125" s="633">
        <v>4</v>
      </c>
      <c r="G125" s="633">
        <f>+'Time Credits to Degree'!B19</f>
        <v>6</v>
      </c>
      <c r="H125" s="633" t="str">
        <f>+'Time Credits to Degree'!C19</f>
        <v>01.006.25</v>
      </c>
      <c r="I125" s="633" t="str">
        <f>+'Time Credits to Degree'!E19</f>
        <v>Transfers In</v>
      </c>
      <c r="J125" s="633">
        <f>+'Time Credits to Degree'!K19</f>
        <v>74.415094339622598</v>
      </c>
      <c r="L125" s="635"/>
      <c r="M125" s="635">
        <f>+'Time Credits to Degree'!M19</f>
        <v>73</v>
      </c>
      <c r="N125" s="635">
        <f>+'Time Credits to Degree'!N19</f>
        <v>72</v>
      </c>
    </row>
    <row r="126" spans="1:14">
      <c r="A126">
        <v>123</v>
      </c>
      <c r="B126">
        <v>158</v>
      </c>
      <c r="C126" s="633" t="str">
        <f>+'Campus Selector'!$G$3</f>
        <v>Canton</v>
      </c>
      <c r="D126" s="634" t="s">
        <v>688</v>
      </c>
      <c r="E126" s="633" t="s">
        <v>571</v>
      </c>
      <c r="F126" s="633">
        <v>5</v>
      </c>
      <c r="G126" s="633">
        <f>+'Time Credits to Degree'!B26</f>
        <v>12</v>
      </c>
      <c r="H126" s="633" t="str">
        <f>+'Time Credits to Degree'!C26</f>
        <v>01.012.25</v>
      </c>
      <c r="I126" s="633" t="str">
        <f>+'Time Credits to Degree'!E26</f>
        <v>First-time (Native)</v>
      </c>
      <c r="J126" s="659">
        <f>+'Time Credits to Degree'!K26</f>
        <v>5.26893939393939</v>
      </c>
      <c r="K126" s="659"/>
      <c r="L126" s="635"/>
      <c r="M126" s="635">
        <f>+'Time Credits to Degree'!M26</f>
        <v>5.12</v>
      </c>
      <c r="N126" s="635">
        <f>+'Time Credits to Degree'!N26</f>
        <v>4.9000000000000004</v>
      </c>
    </row>
    <row r="127" spans="1:14">
      <c r="A127">
        <v>124</v>
      </c>
      <c r="B127">
        <v>159</v>
      </c>
      <c r="C127" s="633" t="str">
        <f>+'Campus Selector'!$G$3</f>
        <v>Canton</v>
      </c>
      <c r="D127" s="634" t="s">
        <v>688</v>
      </c>
      <c r="E127" s="633" t="s">
        <v>571</v>
      </c>
      <c r="F127" s="633">
        <v>6</v>
      </c>
      <c r="G127" s="633">
        <f>+'Time Credits to Degree'!B27</f>
        <v>13</v>
      </c>
      <c r="H127" s="633" t="str">
        <f>+'Time Credits to Degree'!C27</f>
        <v>01.013.25</v>
      </c>
      <c r="I127" s="633" t="str">
        <f>+'Time Credits to Degree'!E27</f>
        <v>Transfers In</v>
      </c>
      <c r="J127" s="659">
        <f>+'Time Credits to Degree'!K27</f>
        <v>3.415</v>
      </c>
      <c r="K127" s="659"/>
      <c r="L127" s="635"/>
      <c r="M127" s="635">
        <f>+'Time Credits to Degree'!M27</f>
        <v>3.3</v>
      </c>
      <c r="N127" s="635">
        <f>+'Time Credits to Degree'!N27</f>
        <v>3.2</v>
      </c>
    </row>
    <row r="128" spans="1:14">
      <c r="A128">
        <v>125</v>
      </c>
      <c r="B128">
        <v>160</v>
      </c>
      <c r="C128" s="633" t="str">
        <f>+'Campus Selector'!$G$3</f>
        <v>Canton</v>
      </c>
      <c r="D128" s="634" t="s">
        <v>688</v>
      </c>
      <c r="E128" s="633" t="s">
        <v>571</v>
      </c>
      <c r="F128" s="633">
        <v>7</v>
      </c>
      <c r="G128" s="633">
        <f>+'Time Credits to Degree'!B34</f>
        <v>15</v>
      </c>
      <c r="H128" s="633" t="str">
        <f>+'Time Credits to Degree'!C34</f>
        <v>01.015.25</v>
      </c>
      <c r="I128" s="633" t="str">
        <f>+'Time Credits to Degree'!E34</f>
        <v>First-time (Native)</v>
      </c>
      <c r="J128" s="633">
        <f>+'Time Credits to Degree'!K34</f>
        <v>132.34375</v>
      </c>
      <c r="L128" s="635"/>
      <c r="M128" s="635">
        <f>+'Time Credits to Degree'!M34</f>
        <v>131</v>
      </c>
      <c r="N128" s="635">
        <f>+'Time Credits to Degree'!N34</f>
        <v>130</v>
      </c>
    </row>
    <row r="129" spans="1:14">
      <c r="A129">
        <v>126</v>
      </c>
      <c r="B129">
        <v>161</v>
      </c>
      <c r="C129" s="633" t="str">
        <f>+'Campus Selector'!$G$3</f>
        <v>Canton</v>
      </c>
      <c r="D129" s="634" t="s">
        <v>688</v>
      </c>
      <c r="E129" s="633" t="s">
        <v>571</v>
      </c>
      <c r="F129" s="633">
        <v>8</v>
      </c>
      <c r="G129" s="633">
        <f>+'Time Credits to Degree'!B35</f>
        <v>16</v>
      </c>
      <c r="H129" s="633" t="str">
        <f>+'Time Credits to Degree'!C35</f>
        <v>01.016.25</v>
      </c>
      <c r="I129" s="633" t="str">
        <f>+'Time Credits to Degree'!E35</f>
        <v>Transfers In</v>
      </c>
      <c r="J129" s="633">
        <f>+'Time Credits to Degree'!K35</f>
        <v>141.64516129032299</v>
      </c>
      <c r="L129" s="635"/>
      <c r="M129" s="635">
        <f>+'Time Credits to Degree'!M35</f>
        <v>137</v>
      </c>
      <c r="N129" s="635">
        <f>+'Time Credits to Degree'!N35</f>
        <v>135</v>
      </c>
    </row>
    <row r="130" spans="1:14">
      <c r="A130">
        <v>127</v>
      </c>
      <c r="D130" s="634"/>
      <c r="L130" s="635"/>
      <c r="M130" s="635"/>
      <c r="N130" s="635"/>
    </row>
    <row r="131" spans="1:14">
      <c r="A131">
        <v>128</v>
      </c>
      <c r="B131">
        <v>171</v>
      </c>
      <c r="C131" s="633" t="str">
        <f>+'Campus Selector'!$G$3</f>
        <v>Canton</v>
      </c>
      <c r="D131" s="634" t="s">
        <v>689</v>
      </c>
      <c r="E131" s="633" t="s">
        <v>479</v>
      </c>
      <c r="F131" s="633">
        <v>1</v>
      </c>
      <c r="G131" s="633" t="e">
        <f>+#REF!</f>
        <v>#REF!</v>
      </c>
      <c r="H131" s="633" t="e">
        <f>+#REF!</f>
        <v>#REF!</v>
      </c>
      <c r="I131" s="633" t="e">
        <f>+#REF!</f>
        <v>#REF!</v>
      </c>
      <c r="J131" s="656" t="e">
        <f>+#REF!</f>
        <v>#REF!</v>
      </c>
      <c r="K131" s="656"/>
      <c r="L131" s="637" t="e">
        <f>+#REF!</f>
        <v>#REF!</v>
      </c>
      <c r="M131" s="637" t="e">
        <f>+#REF!</f>
        <v>#REF!</v>
      </c>
      <c r="N131" s="637" t="e">
        <f>+#REF!</f>
        <v>#REF!</v>
      </c>
    </row>
    <row r="132" spans="1:14">
      <c r="A132">
        <v>129</v>
      </c>
      <c r="B132">
        <v>172</v>
      </c>
      <c r="C132" s="633" t="str">
        <f>+'Campus Selector'!$G$3</f>
        <v>Canton</v>
      </c>
      <c r="D132" s="634" t="s">
        <v>689</v>
      </c>
      <c r="E132" s="633" t="s">
        <v>479</v>
      </c>
      <c r="F132" s="633">
        <v>2</v>
      </c>
      <c r="G132" s="633" t="e">
        <f>+#REF!</f>
        <v>#REF!</v>
      </c>
      <c r="H132" s="633" t="e">
        <f>+#REF!</f>
        <v>#REF!</v>
      </c>
      <c r="I132" s="633" t="e">
        <f>+#REF!</f>
        <v>#REF!</v>
      </c>
      <c r="J132" s="656" t="e">
        <f>+#REF!</f>
        <v>#REF!</v>
      </c>
      <c r="K132" s="656"/>
      <c r="L132" s="637" t="e">
        <f>+#REF!</f>
        <v>#REF!</v>
      </c>
      <c r="M132" s="637" t="e">
        <f>+#REF!</f>
        <v>#REF!</v>
      </c>
      <c r="N132" s="637" t="e">
        <f>+#REF!</f>
        <v>#REF!</v>
      </c>
    </row>
    <row r="133" spans="1:14">
      <c r="A133">
        <v>130</v>
      </c>
      <c r="B133">
        <v>173</v>
      </c>
      <c r="C133" s="633" t="str">
        <f>+'Campus Selector'!$G$3</f>
        <v>Canton</v>
      </c>
      <c r="D133" s="634" t="s">
        <v>689</v>
      </c>
      <c r="E133" s="633" t="s">
        <v>479</v>
      </c>
      <c r="F133" s="633">
        <v>3</v>
      </c>
      <c r="G133" s="633" t="e">
        <f>+#REF!</f>
        <v>#REF!</v>
      </c>
      <c r="H133" s="633" t="e">
        <f>+#REF!</f>
        <v>#REF!</v>
      </c>
      <c r="I133" s="633" t="e">
        <f>+#REF!</f>
        <v>#REF!</v>
      </c>
      <c r="J133" s="656" t="e">
        <f>+#REF!</f>
        <v>#REF!</v>
      </c>
      <c r="K133" s="656"/>
      <c r="L133" s="637" t="e">
        <f>+#REF!</f>
        <v>#REF!</v>
      </c>
      <c r="M133" s="637" t="e">
        <f>+#REF!</f>
        <v>#REF!</v>
      </c>
      <c r="N133" s="637" t="e">
        <f>+#REF!</f>
        <v>#REF!</v>
      </c>
    </row>
    <row r="134" spans="1:14">
      <c r="A134">
        <v>131</v>
      </c>
      <c r="B134">
        <v>174</v>
      </c>
      <c r="C134" s="633" t="str">
        <f>+'Campus Selector'!$G$3</f>
        <v>Canton</v>
      </c>
      <c r="D134" s="634" t="s">
        <v>689</v>
      </c>
      <c r="E134" s="633" t="s">
        <v>479</v>
      </c>
      <c r="F134" s="633">
        <v>4</v>
      </c>
      <c r="G134" s="633" t="e">
        <f>+#REF!</f>
        <v>#REF!</v>
      </c>
      <c r="H134" s="633" t="e">
        <f>+#REF!</f>
        <v>#REF!</v>
      </c>
      <c r="I134" s="633" t="e">
        <f>+#REF!</f>
        <v>#REF!</v>
      </c>
      <c r="J134" s="656" t="e">
        <f>+#REF!</f>
        <v>#REF!</v>
      </c>
      <c r="K134" s="656"/>
      <c r="L134" s="637" t="e">
        <f>+#REF!</f>
        <v>#REF!</v>
      </c>
      <c r="M134" s="637" t="e">
        <f>+#REF!</f>
        <v>#REF!</v>
      </c>
      <c r="N134" s="637" t="e">
        <f>+#REF!</f>
        <v>#REF!</v>
      </c>
    </row>
    <row r="135" spans="1:14">
      <c r="A135">
        <v>132</v>
      </c>
      <c r="B135">
        <v>175</v>
      </c>
      <c r="C135" s="633" t="str">
        <f>+'Campus Selector'!$G$3</f>
        <v>Canton</v>
      </c>
      <c r="D135" s="634" t="s">
        <v>689</v>
      </c>
      <c r="E135" s="633" t="s">
        <v>479</v>
      </c>
      <c r="F135" s="633">
        <v>5</v>
      </c>
      <c r="G135" s="633" t="e">
        <f>+#REF!</f>
        <v>#REF!</v>
      </c>
      <c r="H135" s="633" t="e">
        <f>+#REF!</f>
        <v>#REF!</v>
      </c>
      <c r="I135" s="633" t="e">
        <f>+#REF!</f>
        <v>#REF!</v>
      </c>
      <c r="J135" s="656" t="e">
        <f>+#REF!</f>
        <v>#REF!</v>
      </c>
      <c r="K135" s="656"/>
      <c r="L135" s="637" t="e">
        <f>+#REF!</f>
        <v>#REF!</v>
      </c>
      <c r="M135" s="637" t="e">
        <f>+#REF!</f>
        <v>#REF!</v>
      </c>
      <c r="N135" s="637" t="e">
        <f>+#REF!</f>
        <v>#REF!</v>
      </c>
    </row>
    <row r="136" spans="1:14">
      <c r="A136">
        <v>133</v>
      </c>
      <c r="B136">
        <v>176</v>
      </c>
      <c r="C136" s="633" t="str">
        <f>+'Campus Selector'!$G$3</f>
        <v>Canton</v>
      </c>
      <c r="D136" s="634" t="s">
        <v>689</v>
      </c>
      <c r="E136" s="633" t="s">
        <v>479</v>
      </c>
      <c r="F136" s="633">
        <v>6</v>
      </c>
      <c r="G136" s="633" t="e">
        <f>+#REF!</f>
        <v>#REF!</v>
      </c>
      <c r="H136" s="633" t="e">
        <f>+#REF!</f>
        <v>#REF!</v>
      </c>
      <c r="I136" s="633" t="e">
        <f>+#REF!</f>
        <v>#REF!</v>
      </c>
      <c r="J136" s="656" t="e">
        <f>+#REF!</f>
        <v>#REF!</v>
      </c>
      <c r="K136" s="656"/>
      <c r="L136" s="637" t="e">
        <f>+#REF!</f>
        <v>#REF!</v>
      </c>
      <c r="M136" s="637" t="e">
        <f>+#REF!</f>
        <v>#REF!</v>
      </c>
      <c r="N136" s="637" t="e">
        <f>+#REF!</f>
        <v>#REF!</v>
      </c>
    </row>
    <row r="137" spans="1:14">
      <c r="A137">
        <v>134</v>
      </c>
      <c r="B137">
        <v>177</v>
      </c>
      <c r="C137" s="633" t="str">
        <f>+'Campus Selector'!$G$3</f>
        <v>Canton</v>
      </c>
      <c r="D137" s="634" t="s">
        <v>689</v>
      </c>
      <c r="E137" s="633" t="s">
        <v>479</v>
      </c>
      <c r="F137" s="633">
        <v>7</v>
      </c>
      <c r="G137" s="633" t="e">
        <f>+#REF!</f>
        <v>#REF!</v>
      </c>
      <c r="H137" s="633" t="e">
        <f>+#REF!</f>
        <v>#REF!</v>
      </c>
      <c r="I137" s="633" t="e">
        <f>+#REF!</f>
        <v>#REF!</v>
      </c>
      <c r="J137" s="656" t="e">
        <f>+#REF!</f>
        <v>#REF!</v>
      </c>
      <c r="K137" s="656"/>
      <c r="L137" s="637" t="e">
        <f>+#REF!</f>
        <v>#REF!</v>
      </c>
      <c r="M137" s="637" t="e">
        <f>+#REF!</f>
        <v>#REF!</v>
      </c>
      <c r="N137" s="637" t="e">
        <f>+#REF!</f>
        <v>#REF!</v>
      </c>
    </row>
    <row r="138" spans="1:14">
      <c r="A138">
        <v>135</v>
      </c>
      <c r="B138">
        <v>178</v>
      </c>
      <c r="C138" s="633" t="str">
        <f>+'Campus Selector'!$G$3</f>
        <v>Canton</v>
      </c>
      <c r="D138" s="634" t="s">
        <v>689</v>
      </c>
      <c r="E138" s="633" t="s">
        <v>479</v>
      </c>
      <c r="F138" s="633">
        <v>8</v>
      </c>
      <c r="G138" s="633" t="e">
        <f>+#REF!</f>
        <v>#REF!</v>
      </c>
      <c r="H138" s="633" t="e">
        <f>+#REF!</f>
        <v>#REF!</v>
      </c>
      <c r="I138" s="633" t="e">
        <f>+#REF!</f>
        <v>#REF!</v>
      </c>
      <c r="J138" s="656" t="e">
        <f>+#REF!</f>
        <v>#REF!</v>
      </c>
      <c r="K138" s="656"/>
      <c r="L138" s="637" t="e">
        <f>+#REF!</f>
        <v>#REF!</v>
      </c>
      <c r="M138" s="637" t="e">
        <f>+#REF!</f>
        <v>#REF!</v>
      </c>
      <c r="N138" s="637" t="e">
        <f>+#REF!</f>
        <v>#REF!</v>
      </c>
    </row>
    <row r="139" spans="1:14">
      <c r="A139">
        <v>136</v>
      </c>
      <c r="B139">
        <v>179</v>
      </c>
      <c r="C139" s="633" t="str">
        <f>+'Campus Selector'!$G$3</f>
        <v>Canton</v>
      </c>
      <c r="D139" s="634" t="s">
        <v>689</v>
      </c>
      <c r="E139" s="633" t="s">
        <v>479</v>
      </c>
      <c r="F139" s="633">
        <v>9</v>
      </c>
      <c r="G139" s="633" t="e">
        <f>+#REF!</f>
        <v>#REF!</v>
      </c>
      <c r="H139" s="633" t="e">
        <f>+#REF!</f>
        <v>#REF!</v>
      </c>
      <c r="I139" s="633" t="e">
        <f>+#REF!</f>
        <v>#REF!</v>
      </c>
      <c r="J139" s="656" t="e">
        <f>+#REF!</f>
        <v>#REF!</v>
      </c>
      <c r="K139" s="656"/>
      <c r="L139" s="637" t="e">
        <f>+#REF!</f>
        <v>#REF!</v>
      </c>
      <c r="M139" s="637" t="e">
        <f>+#REF!</f>
        <v>#REF!</v>
      </c>
      <c r="N139" s="637" t="e">
        <f>+#REF!</f>
        <v>#REF!</v>
      </c>
    </row>
    <row r="140" spans="1:14">
      <c r="A140">
        <v>137</v>
      </c>
      <c r="B140">
        <v>180</v>
      </c>
      <c r="C140" s="633" t="str">
        <f>+'Campus Selector'!$G$3</f>
        <v>Canton</v>
      </c>
      <c r="D140" s="634" t="s">
        <v>689</v>
      </c>
      <c r="E140" s="633" t="s">
        <v>479</v>
      </c>
      <c r="F140" s="633">
        <v>10</v>
      </c>
      <c r="G140" s="633" t="e">
        <f>+#REF!</f>
        <v>#REF!</v>
      </c>
      <c r="H140" s="633" t="e">
        <f>+#REF!</f>
        <v>#REF!</v>
      </c>
      <c r="I140" s="633" t="e">
        <f>+#REF!</f>
        <v>#REF!</v>
      </c>
      <c r="J140" s="656" t="e">
        <f>+#REF!</f>
        <v>#REF!</v>
      </c>
      <c r="K140" s="656"/>
      <c r="L140" s="637" t="e">
        <f>+#REF!</f>
        <v>#REF!</v>
      </c>
      <c r="M140" s="637" t="e">
        <f>+#REF!</f>
        <v>#REF!</v>
      </c>
      <c r="N140" s="637" t="e">
        <f>+#REF!</f>
        <v>#REF!</v>
      </c>
    </row>
    <row r="141" spans="1:14">
      <c r="A141">
        <v>138</v>
      </c>
      <c r="B141">
        <v>181</v>
      </c>
      <c r="C141" s="633" t="str">
        <f>+'Campus Selector'!$G$3</f>
        <v>Canton</v>
      </c>
      <c r="D141" s="634" t="s">
        <v>689</v>
      </c>
      <c r="E141" s="633" t="s">
        <v>479</v>
      </c>
      <c r="F141" s="633">
        <v>11</v>
      </c>
      <c r="G141" s="633" t="e">
        <f>+#REF!</f>
        <v>#REF!</v>
      </c>
      <c r="H141" s="633" t="e">
        <f>+#REF!</f>
        <v>#REF!</v>
      </c>
      <c r="I141" s="633" t="e">
        <f>+#REF!</f>
        <v>#REF!</v>
      </c>
      <c r="J141" s="656" t="e">
        <f>+#REF!</f>
        <v>#REF!</v>
      </c>
      <c r="K141" s="656"/>
      <c r="L141" s="637" t="e">
        <f>+#REF!</f>
        <v>#REF!</v>
      </c>
      <c r="M141" s="637" t="e">
        <f>+#REF!</f>
        <v>#REF!</v>
      </c>
      <c r="N141" s="637" t="e">
        <f>+#REF!</f>
        <v>#REF!</v>
      </c>
    </row>
    <row r="142" spans="1:14">
      <c r="A142">
        <v>139</v>
      </c>
      <c r="B142">
        <v>182</v>
      </c>
      <c r="C142" s="633" t="str">
        <f>+'Campus Selector'!$G$3</f>
        <v>Canton</v>
      </c>
      <c r="D142" s="634" t="s">
        <v>689</v>
      </c>
      <c r="E142" s="633" t="s">
        <v>479</v>
      </c>
      <c r="F142" s="633">
        <v>12</v>
      </c>
      <c r="G142" s="633" t="e">
        <f>+#REF!</f>
        <v>#REF!</v>
      </c>
      <c r="H142" s="633" t="e">
        <f>+#REF!</f>
        <v>#REF!</v>
      </c>
      <c r="I142" s="633" t="e">
        <f>+#REF!</f>
        <v>#REF!</v>
      </c>
      <c r="J142" s="656" t="e">
        <f>+#REF!</f>
        <v>#REF!</v>
      </c>
      <c r="K142" s="656"/>
      <c r="L142" s="637" t="e">
        <f>+#REF!</f>
        <v>#REF!</v>
      </c>
      <c r="M142" s="637" t="e">
        <f>+#REF!</f>
        <v>#REF!</v>
      </c>
      <c r="N142" s="637" t="e">
        <f>+#REF!</f>
        <v>#REF!</v>
      </c>
    </row>
    <row r="143" spans="1:14">
      <c r="A143">
        <v>140</v>
      </c>
      <c r="D143" s="634"/>
      <c r="J143" s="656"/>
      <c r="K143" s="656"/>
      <c r="L143" s="637"/>
      <c r="M143" s="637"/>
      <c r="N143" s="637"/>
    </row>
    <row r="144" spans="1:14">
      <c r="A144">
        <v>141</v>
      </c>
      <c r="B144">
        <v>186</v>
      </c>
      <c r="C144" s="633" t="str">
        <f>+'Campus Selector'!$G$3</f>
        <v>Canton</v>
      </c>
      <c r="D144" s="634" t="s">
        <v>690</v>
      </c>
      <c r="E144" s="633" t="s">
        <v>572</v>
      </c>
      <c r="F144" s="633">
        <v>1</v>
      </c>
      <c r="G144" s="633">
        <f>+'Degrees Awards Granted'!B10</f>
        <v>172</v>
      </c>
      <c r="H144" s="633" t="str">
        <f>+'Degrees Awards Granted'!C10</f>
        <v>14.172.25</v>
      </c>
      <c r="I144" s="633" t="str">
        <f>+'Degrees Awards Granted'!E10</f>
        <v>UG Certificates and Diplomas</v>
      </c>
      <c r="J144" s="656">
        <f>+'Degrees Awards Granted'!K10</f>
        <v>152</v>
      </c>
      <c r="K144" s="656"/>
      <c r="L144" s="637">
        <f>+'Degrees Awards Granted'!M10</f>
        <v>80</v>
      </c>
      <c r="M144" s="637">
        <f>+'Degrees Awards Granted'!N10</f>
        <v>95</v>
      </c>
      <c r="N144" s="637">
        <f>+'Degrees Awards Granted'!O10</f>
        <v>112</v>
      </c>
    </row>
    <row r="145" spans="1:14">
      <c r="A145">
        <v>142</v>
      </c>
      <c r="B145">
        <v>187</v>
      </c>
      <c r="C145" s="633" t="str">
        <f>+'Campus Selector'!$G$3</f>
        <v>Canton</v>
      </c>
      <c r="D145" s="634" t="s">
        <v>690</v>
      </c>
      <c r="E145" s="633" t="s">
        <v>572</v>
      </c>
      <c r="F145" s="633">
        <v>2</v>
      </c>
      <c r="G145" s="633">
        <f>+'Degrees Awards Granted'!B11</f>
        <v>173</v>
      </c>
      <c r="H145" s="633" t="str">
        <f>+'Degrees Awards Granted'!C11</f>
        <v>14.173.25</v>
      </c>
      <c r="I145" s="633" t="str">
        <f>+'Degrees Awards Granted'!E11</f>
        <v>Associate Degrees</v>
      </c>
      <c r="J145" s="656">
        <f>+'Degrees Awards Granted'!K11</f>
        <v>452</v>
      </c>
      <c r="K145" s="656"/>
      <c r="L145" s="637">
        <f>+'Degrees Awards Granted'!M11</f>
        <v>422</v>
      </c>
      <c r="M145" s="637">
        <f>+'Degrees Awards Granted'!N11</f>
        <v>620</v>
      </c>
      <c r="N145" s="637">
        <f>+'Degrees Awards Granted'!O11</f>
        <v>810</v>
      </c>
    </row>
    <row r="146" spans="1:14">
      <c r="A146">
        <v>143</v>
      </c>
      <c r="B146">
        <v>188</v>
      </c>
      <c r="C146" s="633" t="str">
        <f>+'Campus Selector'!$G$3</f>
        <v>Canton</v>
      </c>
      <c r="D146" s="634" t="s">
        <v>690</v>
      </c>
      <c r="E146" s="633" t="s">
        <v>572</v>
      </c>
      <c r="F146" s="633">
        <v>3</v>
      </c>
      <c r="G146" s="633">
        <f>+'Degrees Awards Granted'!B12</f>
        <v>174</v>
      </c>
      <c r="H146" s="633" t="str">
        <f>+'Degrees Awards Granted'!C12</f>
        <v>14.174.25</v>
      </c>
      <c r="I146" s="633" t="str">
        <f>+'Degrees Awards Granted'!E12</f>
        <v>Baccalaureate Degrees</v>
      </c>
      <c r="J146" s="656">
        <f>+'Degrees Awards Granted'!K12</f>
        <v>360</v>
      </c>
      <c r="K146" s="656"/>
      <c r="L146" s="637">
        <f>+'Degrees Awards Granted'!M12</f>
        <v>400</v>
      </c>
      <c r="M146" s="637">
        <f>+'Degrees Awards Granted'!N12</f>
        <v>430</v>
      </c>
      <c r="N146" s="637">
        <f>+'Degrees Awards Granted'!O12</f>
        <v>450</v>
      </c>
    </row>
    <row r="147" spans="1:14">
      <c r="A147">
        <v>144</v>
      </c>
      <c r="B147">
        <v>189</v>
      </c>
      <c r="C147" s="633" t="str">
        <f>+'Campus Selector'!$G$3</f>
        <v>Canton</v>
      </c>
      <c r="D147" s="634" t="s">
        <v>690</v>
      </c>
      <c r="E147" s="633" t="s">
        <v>572</v>
      </c>
      <c r="F147" s="633">
        <v>4</v>
      </c>
      <c r="G147" s="633">
        <f>+'Degrees Awards Granted'!B13</f>
        <v>175</v>
      </c>
      <c r="H147" s="633" t="str">
        <f>+'Degrees Awards Granted'!C13</f>
        <v>14.175.25</v>
      </c>
      <c r="I147" s="633" t="str">
        <f>+'Degrees Awards Granted'!E13</f>
        <v>Masters Degrees</v>
      </c>
      <c r="J147" s="656" t="str">
        <f>+'Degrees Awards Granted'!K13</f>
        <v>n/a</v>
      </c>
      <c r="K147" s="656"/>
      <c r="L147" s="637">
        <f>+'Degrees Awards Granted'!M13</f>
        <v>0</v>
      </c>
      <c r="M147" s="637">
        <f>+'Degrees Awards Granted'!N13</f>
        <v>0</v>
      </c>
      <c r="N147" s="637">
        <f>+'Degrees Awards Granted'!O13</f>
        <v>0</v>
      </c>
    </row>
    <row r="148" spans="1:14">
      <c r="A148">
        <v>145</v>
      </c>
      <c r="B148">
        <v>190</v>
      </c>
      <c r="C148" s="633" t="str">
        <f>+'Campus Selector'!$G$3</f>
        <v>Canton</v>
      </c>
      <c r="D148" s="634" t="s">
        <v>690</v>
      </c>
      <c r="E148" s="633" t="s">
        <v>572</v>
      </c>
      <c r="F148" s="633">
        <v>5</v>
      </c>
      <c r="G148" s="633">
        <f>+'Degrees Awards Granted'!B14</f>
        <v>176</v>
      </c>
      <c r="H148" s="633" t="str">
        <f>+'Degrees Awards Granted'!C14</f>
        <v>14.176.25</v>
      </c>
      <c r="I148" s="633" t="str">
        <f>+'Degrees Awards Granted'!E14</f>
        <v>Doctoral Degrees</v>
      </c>
      <c r="J148" s="656" t="str">
        <f>+'Degrees Awards Granted'!K14</f>
        <v>n/a</v>
      </c>
      <c r="K148" s="656"/>
      <c r="L148" s="637">
        <f>+'Degrees Awards Granted'!M14</f>
        <v>0</v>
      </c>
      <c r="M148" s="637">
        <f>+'Degrees Awards Granted'!N14</f>
        <v>0</v>
      </c>
      <c r="N148" s="637">
        <f>+'Degrees Awards Granted'!O14</f>
        <v>0</v>
      </c>
    </row>
    <row r="149" spans="1:14">
      <c r="A149">
        <v>146</v>
      </c>
      <c r="B149">
        <v>191</v>
      </c>
      <c r="C149" s="633" t="str">
        <f>+'Campus Selector'!$G$3</f>
        <v>Canton</v>
      </c>
      <c r="D149" s="634" t="s">
        <v>690</v>
      </c>
      <c r="E149" s="633" t="s">
        <v>572</v>
      </c>
      <c r="F149" s="633">
        <v>6</v>
      </c>
      <c r="G149" s="633">
        <f>+'Degrees Awards Granted'!B15</f>
        <v>177</v>
      </c>
      <c r="H149" s="633" t="str">
        <f>+'Degrees Awards Granted'!C15</f>
        <v>14.177.25</v>
      </c>
      <c r="I149" s="633" t="str">
        <f>+'Degrees Awards Granted'!E15</f>
        <v>First-Professional</v>
      </c>
      <c r="J149" s="656" t="str">
        <f>+'Degrees Awards Granted'!K15</f>
        <v>n/a</v>
      </c>
      <c r="K149" s="656"/>
      <c r="L149" s="637">
        <f>+'Degrees Awards Granted'!M15</f>
        <v>0</v>
      </c>
      <c r="M149" s="637">
        <f>+'Degrees Awards Granted'!N15</f>
        <v>0</v>
      </c>
      <c r="N149" s="637">
        <f>+'Degrees Awards Granted'!O15</f>
        <v>0</v>
      </c>
    </row>
    <row r="150" spans="1:14">
      <c r="A150">
        <v>147</v>
      </c>
      <c r="B150">
        <v>192</v>
      </c>
      <c r="C150" s="633" t="str">
        <f>+'Campus Selector'!$G$3</f>
        <v>Canton</v>
      </c>
      <c r="D150" s="634" t="s">
        <v>690</v>
      </c>
      <c r="E150" s="633" t="s">
        <v>572</v>
      </c>
      <c r="F150" s="633">
        <v>7</v>
      </c>
      <c r="G150" s="633">
        <f>+'Degrees Awards Granted'!B16</f>
        <v>178</v>
      </c>
      <c r="H150" s="633" t="str">
        <f>+'Degrees Awards Granted'!C16</f>
        <v>14.178.25</v>
      </c>
      <c r="I150" s="633" t="str">
        <f>+'Degrees Awards Granted'!E16</f>
        <v>Graduate Certificates</v>
      </c>
      <c r="J150" s="656" t="str">
        <f>+'Degrees Awards Granted'!K16</f>
        <v>n/a</v>
      </c>
      <c r="K150" s="656"/>
      <c r="L150" s="637">
        <f>+'Degrees Awards Granted'!M16</f>
        <v>0</v>
      </c>
      <c r="M150" s="637">
        <f>+'Degrees Awards Granted'!N16</f>
        <v>0</v>
      </c>
      <c r="N150" s="637">
        <f>+'Degrees Awards Granted'!O16</f>
        <v>0</v>
      </c>
    </row>
    <row r="151" spans="1:14">
      <c r="A151">
        <v>148</v>
      </c>
      <c r="D151" s="634"/>
      <c r="J151" s="656"/>
      <c r="K151" s="656"/>
      <c r="L151" s="637"/>
      <c r="M151" s="637"/>
      <c r="N151" s="637"/>
    </row>
    <row r="152" spans="1:14">
      <c r="A152">
        <v>149</v>
      </c>
      <c r="B152">
        <v>194</v>
      </c>
      <c r="C152" s="633" t="str">
        <f>+'Campus Selector'!$G$3</f>
        <v>Canton</v>
      </c>
      <c r="D152" s="634" t="s">
        <v>691</v>
      </c>
      <c r="E152" s="633" t="s">
        <v>414</v>
      </c>
      <c r="F152" s="633">
        <v>1</v>
      </c>
      <c r="G152" s="633">
        <f>+'SOS Results Table 1'!B10</f>
        <v>238</v>
      </c>
      <c r="H152" s="633" t="str">
        <f>+'SOS Results Table 1'!C10</f>
        <v>11.238.25</v>
      </c>
      <c r="I152" s="633" t="str">
        <f>+'SOS Results Table 1'!F10</f>
        <v>Overall Satisfaction</v>
      </c>
      <c r="J152" s="659">
        <f>+'SOS Results Table 1'!G10</f>
        <v>3.4454126798955218</v>
      </c>
      <c r="K152" s="659"/>
      <c r="L152" s="637" t="e">
        <f>+'SOS Results Table 1'!#REF!</f>
        <v>#REF!</v>
      </c>
      <c r="M152" s="637" t="e">
        <f>+'SOS Results Table 1'!#REF!</f>
        <v>#REF!</v>
      </c>
      <c r="N152" s="637" t="s">
        <v>649</v>
      </c>
    </row>
    <row r="153" spans="1:14">
      <c r="A153">
        <v>150</v>
      </c>
      <c r="B153">
        <v>195</v>
      </c>
      <c r="C153" s="633" t="str">
        <f>+'Campus Selector'!$G$3</f>
        <v>Canton</v>
      </c>
      <c r="D153" s="634" t="s">
        <v>691</v>
      </c>
      <c r="E153" s="633" t="s">
        <v>414</v>
      </c>
      <c r="F153" s="633">
        <v>2</v>
      </c>
      <c r="G153" s="633">
        <f>+'SOS Results Table 1'!B11</f>
        <v>235</v>
      </c>
      <c r="H153" s="633" t="str">
        <f>+'SOS Results Table 1'!C11</f>
        <v>11.235.25</v>
      </c>
      <c r="I153" s="633" t="str">
        <f>+'SOS Results Table 1'!F11</f>
        <v>Academic Skill Development</v>
      </c>
      <c r="J153" s="659">
        <f>+'SOS Results Table 1'!G11</f>
        <v>3.2249208076137417</v>
      </c>
      <c r="K153" s="659"/>
      <c r="L153" s="637" t="e">
        <f>+'SOS Results Table 1'!#REF!</f>
        <v>#REF!</v>
      </c>
      <c r="M153" s="637" t="e">
        <f>+'SOS Results Table 1'!#REF!</f>
        <v>#REF!</v>
      </c>
      <c r="N153" s="637" t="s">
        <v>649</v>
      </c>
    </row>
    <row r="154" spans="1:14">
      <c r="A154">
        <v>151</v>
      </c>
      <c r="B154">
        <v>196</v>
      </c>
      <c r="C154" s="633" t="str">
        <f>+'Campus Selector'!$G$3</f>
        <v>Canton</v>
      </c>
      <c r="D154" s="634" t="s">
        <v>691</v>
      </c>
      <c r="E154" s="633" t="s">
        <v>414</v>
      </c>
      <c r="F154" s="633">
        <v>3</v>
      </c>
      <c r="G154" s="633">
        <f>+'SOS Results Table 1'!B12</f>
        <v>236</v>
      </c>
      <c r="H154" s="633" t="str">
        <f>+'SOS Results Table 1'!C12</f>
        <v>11.236.25</v>
      </c>
      <c r="I154" s="633" t="str">
        <f>+'SOS Results Table 1'!F12</f>
        <v>Classroom Experience</v>
      </c>
      <c r="J154" s="659">
        <f>+'SOS Results Table 1'!G12</f>
        <v>3.2030220490313539</v>
      </c>
      <c r="K154" s="659"/>
      <c r="L154" s="637" t="e">
        <f>+'SOS Results Table 1'!#REF!</f>
        <v>#REF!</v>
      </c>
      <c r="M154" s="637" t="e">
        <f>+'SOS Results Table 1'!#REF!</f>
        <v>#REF!</v>
      </c>
      <c r="N154" s="637" t="s">
        <v>649</v>
      </c>
    </row>
    <row r="155" spans="1:14">
      <c r="A155">
        <v>152</v>
      </c>
      <c r="B155">
        <v>197</v>
      </c>
      <c r="C155" s="633" t="str">
        <f>+'Campus Selector'!$G$3</f>
        <v>Canton</v>
      </c>
      <c r="D155" s="634" t="s">
        <v>691</v>
      </c>
      <c r="E155" s="633" t="s">
        <v>414</v>
      </c>
      <c r="F155" s="633">
        <v>4</v>
      </c>
      <c r="G155" s="633">
        <f>+'SOS Results Table 1'!B13</f>
        <v>237</v>
      </c>
      <c r="H155" s="633" t="str">
        <f>+'SOS Results Table 1'!C13</f>
        <v>11.237.25</v>
      </c>
      <c r="I155" s="633" t="str">
        <f>+'SOS Results Table 1'!F13</f>
        <v>Life Skill Development</v>
      </c>
      <c r="J155" s="659">
        <f>+'SOS Results Table 1'!G13</f>
        <v>3.0702451363647261</v>
      </c>
      <c r="K155" s="659"/>
      <c r="L155" s="637" t="e">
        <f>+'SOS Results Table 1'!#REF!</f>
        <v>#REF!</v>
      </c>
      <c r="M155" s="637" t="e">
        <f>+'SOS Results Table 1'!#REF!</f>
        <v>#REF!</v>
      </c>
      <c r="N155" s="637" t="s">
        <v>649</v>
      </c>
    </row>
    <row r="156" spans="1:14">
      <c r="A156">
        <v>153</v>
      </c>
      <c r="B156">
        <v>198</v>
      </c>
      <c r="C156" s="633" t="str">
        <f>+'Campus Selector'!$G$3</f>
        <v>Canton</v>
      </c>
      <c r="D156" s="634" t="s">
        <v>691</v>
      </c>
      <c r="E156" s="633" t="s">
        <v>414</v>
      </c>
      <c r="F156" s="633">
        <v>5</v>
      </c>
      <c r="G156" s="633">
        <f>+'SOS Results Table 1'!B14</f>
        <v>248</v>
      </c>
      <c r="H156" s="633" t="str">
        <f>+'SOS Results Table 1'!C14</f>
        <v>11.248.25</v>
      </c>
      <c r="I156" s="633" t="str">
        <f>+'SOS Results Table 1'!F14</f>
        <v>Academic Integrity</v>
      </c>
      <c r="J156" s="659">
        <f>+'SOS Results Table 1'!G14</f>
        <v>3.3245340395687037</v>
      </c>
      <c r="K156" s="659"/>
      <c r="L156" s="637" t="e">
        <f>+'SOS Results Table 1'!#REF!</f>
        <v>#REF!</v>
      </c>
      <c r="M156" s="637" t="e">
        <f>+'SOS Results Table 1'!#REF!</f>
        <v>#REF!</v>
      </c>
      <c r="N156" s="637" t="s">
        <v>649</v>
      </c>
    </row>
    <row r="157" spans="1:14">
      <c r="A157">
        <v>154</v>
      </c>
      <c r="B157">
        <v>199</v>
      </c>
      <c r="C157" s="633" t="str">
        <f>+'Campus Selector'!$G$3</f>
        <v>Canton</v>
      </c>
      <c r="D157" s="634" t="s">
        <v>691</v>
      </c>
      <c r="E157" s="633" t="s">
        <v>414</v>
      </c>
      <c r="F157" s="633">
        <v>6</v>
      </c>
      <c r="G157" s="633">
        <f>+'SOS Results Table 1'!B15</f>
        <v>249</v>
      </c>
      <c r="H157" s="633" t="str">
        <f>+'SOS Results Table 1'!C15</f>
        <v>11.249.25</v>
      </c>
      <c r="I157" s="633" t="str">
        <f>+'SOS Results Table 1'!F15</f>
        <v>Academic Assigments</v>
      </c>
      <c r="J157" s="659">
        <f>+'SOS Results Table 1'!G15</f>
        <v>3.997477644146882</v>
      </c>
      <c r="K157" s="659"/>
      <c r="L157" s="637" t="e">
        <f>+'SOS Results Table 1'!#REF!</f>
        <v>#REF!</v>
      </c>
      <c r="M157" s="637" t="e">
        <f>+'SOS Results Table 1'!#REF!</f>
        <v>#REF!</v>
      </c>
      <c r="N157" s="637" t="s">
        <v>649</v>
      </c>
    </row>
    <row r="158" spans="1:14">
      <c r="A158">
        <v>155</v>
      </c>
      <c r="B158">
        <v>200</v>
      </c>
      <c r="C158" s="633" t="str">
        <f>+'Campus Selector'!$G$3</f>
        <v>Canton</v>
      </c>
      <c r="D158" s="634" t="s">
        <v>691</v>
      </c>
      <c r="E158" s="633" t="s">
        <v>414</v>
      </c>
      <c r="F158" s="633">
        <v>7</v>
      </c>
      <c r="G158" s="633">
        <f>+'SOS Results Table 1'!B18</f>
        <v>243</v>
      </c>
      <c r="H158" s="633" t="str">
        <f>+'SOS Results Table 1'!C18</f>
        <v>11.243.25</v>
      </c>
      <c r="I158" s="633" t="str">
        <f>+'SOS Results Table 1'!F18</f>
        <v>Academic Advising</v>
      </c>
      <c r="J158" s="659">
        <f>+'SOS Results Table 1'!G16</f>
        <v>0</v>
      </c>
      <c r="K158" s="659"/>
      <c r="L158" s="637" t="e">
        <f>+'SOS Results Table 1'!#REF!</f>
        <v>#REF!</v>
      </c>
      <c r="M158" s="637" t="e">
        <f>+'SOS Results Table 1'!#REF!</f>
        <v>#REF!</v>
      </c>
      <c r="N158" s="637" t="s">
        <v>649</v>
      </c>
    </row>
    <row r="159" spans="1:14">
      <c r="A159">
        <v>156</v>
      </c>
      <c r="B159">
        <v>201</v>
      </c>
      <c r="C159" s="633" t="str">
        <f>+'Campus Selector'!$G$3</f>
        <v>Canton</v>
      </c>
      <c r="D159" s="634" t="s">
        <v>691</v>
      </c>
      <c r="E159" s="633" t="s">
        <v>414</v>
      </c>
      <c r="F159" s="633">
        <v>8</v>
      </c>
      <c r="G159" s="633">
        <f>+'SOS Results Table 1'!B19</f>
        <v>240</v>
      </c>
      <c r="H159" s="633" t="str">
        <f>+'SOS Results Table 1'!C19</f>
        <v>11.240.25</v>
      </c>
      <c r="I159" s="633" t="str">
        <f>+'SOS Results Table 1'!F19</f>
        <v>Information Technology</v>
      </c>
      <c r="J159" s="659">
        <f>+'SOS Results Table 1'!G17</f>
        <v>0</v>
      </c>
      <c r="K159" s="659"/>
      <c r="L159" s="637" t="e">
        <f>+'SOS Results Table 1'!#REF!</f>
        <v>#REF!</v>
      </c>
      <c r="M159" s="637" t="e">
        <f>+'SOS Results Table 1'!#REF!</f>
        <v>#REF!</v>
      </c>
      <c r="N159" s="637" t="s">
        <v>649</v>
      </c>
    </row>
    <row r="160" spans="1:14">
      <c r="A160">
        <v>157</v>
      </c>
      <c r="B160">
        <v>202</v>
      </c>
      <c r="C160" s="633" t="str">
        <f>+'Campus Selector'!$G$3</f>
        <v>Canton</v>
      </c>
      <c r="D160" s="634" t="s">
        <v>691</v>
      </c>
      <c r="E160" s="633" t="s">
        <v>414</v>
      </c>
      <c r="F160" s="633">
        <v>9</v>
      </c>
      <c r="G160" s="633">
        <f>+'SOS Results Table 1'!B20</f>
        <v>241</v>
      </c>
      <c r="H160" s="633" t="str">
        <f>+'SOS Results Table 1'!C20</f>
        <v>11.241.25</v>
      </c>
      <c r="I160" s="633" t="str">
        <f>+'SOS Results Table 1'!F20</f>
        <v>Academic Facilities &amp; Grounds</v>
      </c>
      <c r="J160" s="659">
        <f>+'SOS Results Table 1'!G18</f>
        <v>3.8828364128652972</v>
      </c>
      <c r="K160" s="659"/>
      <c r="L160" s="637" t="e">
        <f>+'SOS Results Table 1'!#REF!</f>
        <v>#REF!</v>
      </c>
      <c r="M160" s="637" t="e">
        <f>+'SOS Results Table 1'!#REF!</f>
        <v>#REF!</v>
      </c>
      <c r="N160" s="637" t="s">
        <v>649</v>
      </c>
    </row>
    <row r="161" spans="1:14">
      <c r="A161">
        <v>158</v>
      </c>
      <c r="B161">
        <v>203</v>
      </c>
      <c r="C161" s="633" t="str">
        <f>+'Campus Selector'!$G$3</f>
        <v>Canton</v>
      </c>
      <c r="D161" s="634" t="s">
        <v>691</v>
      </c>
      <c r="E161" s="633" t="s">
        <v>414</v>
      </c>
      <c r="F161" s="633">
        <v>10</v>
      </c>
      <c r="G161" s="633">
        <f>+'SOS Results Table 1'!B21</f>
        <v>242</v>
      </c>
      <c r="H161" s="633" t="str">
        <f>+'SOS Results Table 1'!C21</f>
        <v>11.242.25</v>
      </c>
      <c r="I161" s="633" t="str">
        <f>+'SOS Results Table 1'!F21</f>
        <v>Course Availability &amp; Quality</v>
      </c>
      <c r="J161" s="659">
        <f>+'SOS Results Table 1'!G19</f>
        <v>3.945083432758536</v>
      </c>
      <c r="K161" s="659"/>
      <c r="L161" s="637" t="e">
        <f>+'SOS Results Table 1'!#REF!</f>
        <v>#REF!</v>
      </c>
      <c r="M161" s="637" t="e">
        <f>+'SOS Results Table 1'!#REF!</f>
        <v>#REF!</v>
      </c>
      <c r="N161" s="637" t="s">
        <v>649</v>
      </c>
    </row>
    <row r="162" spans="1:14">
      <c r="A162">
        <v>159</v>
      </c>
      <c r="B162">
        <v>204</v>
      </c>
      <c r="C162" s="633" t="str">
        <f>+'Campus Selector'!$G$3</f>
        <v>Canton</v>
      </c>
      <c r="D162" s="634" t="s">
        <v>691</v>
      </c>
      <c r="E162" s="633" t="s">
        <v>414</v>
      </c>
      <c r="F162" s="633">
        <v>11</v>
      </c>
      <c r="G162" s="633">
        <f>+'SOS Results Table 1'!B24</f>
        <v>245</v>
      </c>
      <c r="H162" s="633" t="str">
        <f>+'SOS Results Table 1'!C24</f>
        <v>11.245.25</v>
      </c>
      <c r="I162" s="633" t="str">
        <f>+'SOS Results Table 1'!F24</f>
        <v>Social Environment</v>
      </c>
      <c r="J162" s="659">
        <f>+'SOS Results Table 1'!G20</f>
        <v>3.7255518523291982</v>
      </c>
      <c r="K162" s="659"/>
      <c r="L162" s="637" t="e">
        <f>+'SOS Results Table 1'!#REF!</f>
        <v>#REF!</v>
      </c>
      <c r="M162" s="637" t="e">
        <f>+'SOS Results Table 1'!#REF!</f>
        <v>#REF!</v>
      </c>
      <c r="N162" s="637" t="s">
        <v>649</v>
      </c>
    </row>
    <row r="163" spans="1:14">
      <c r="A163">
        <v>160</v>
      </c>
      <c r="B163">
        <v>205</v>
      </c>
      <c r="C163" s="633" t="str">
        <f>+'Campus Selector'!$G$3</f>
        <v>Canton</v>
      </c>
      <c r="D163" s="634" t="s">
        <v>691</v>
      </c>
      <c r="E163" s="633" t="s">
        <v>414</v>
      </c>
      <c r="F163" s="633">
        <v>12</v>
      </c>
      <c r="G163" s="633">
        <f>+'SOS Results Table 1'!B25</f>
        <v>250</v>
      </c>
      <c r="H163" s="633" t="str">
        <f>+'SOS Results Table 1'!C25</f>
        <v>11.250.25</v>
      </c>
      <c r="I163" s="633" t="str">
        <f>+'SOS Results Table 1'!F25</f>
        <v>Financing College and other Difficulties</v>
      </c>
      <c r="J163" s="659">
        <f>+'SOS Results Table 1'!G21</f>
        <v>3.735660643070176</v>
      </c>
      <c r="K163" s="659"/>
      <c r="L163" s="637" t="e">
        <f>+'SOS Results Table 1'!#REF!</f>
        <v>#REF!</v>
      </c>
      <c r="M163" s="637" t="e">
        <f>+'SOS Results Table 1'!#REF!</f>
        <v>#REF!</v>
      </c>
      <c r="N163" s="637" t="s">
        <v>649</v>
      </c>
    </row>
    <row r="164" spans="1:14">
      <c r="A164">
        <v>161</v>
      </c>
      <c r="B164">
        <v>206</v>
      </c>
      <c r="C164" s="633" t="str">
        <f>+'Campus Selector'!$G$3</f>
        <v>Canton</v>
      </c>
      <c r="D164" s="634" t="s">
        <v>691</v>
      </c>
      <c r="E164" s="633" t="s">
        <v>414</v>
      </c>
      <c r="F164" s="633">
        <v>13</v>
      </c>
      <c r="G164" s="633">
        <f>+'SOS Results Table 1'!B26</f>
        <v>251</v>
      </c>
      <c r="H164" s="633" t="str">
        <f>+'SOS Results Table 1'!C26</f>
        <v>11.251.25</v>
      </c>
      <c r="I164" s="633" t="str">
        <f>+'SOS Results Table 1'!F26</f>
        <v>Personal Integration &amp; Connection</v>
      </c>
      <c r="J164" s="659">
        <f>+'SOS Results Table 1'!G22</f>
        <v>0</v>
      </c>
      <c r="K164" s="659"/>
      <c r="L164" s="637" t="e">
        <f>+'SOS Results Table 1'!#REF!</f>
        <v>#REF!</v>
      </c>
      <c r="M164" s="637" t="e">
        <f>+'SOS Results Table 1'!#REF!</f>
        <v>#REF!</v>
      </c>
      <c r="N164" s="637" t="s">
        <v>649</v>
      </c>
    </row>
    <row r="165" spans="1:14">
      <c r="A165">
        <v>162</v>
      </c>
      <c r="B165">
        <v>207</v>
      </c>
      <c r="C165" s="633" t="str">
        <f>+'Campus Selector'!$G$3</f>
        <v>Canton</v>
      </c>
      <c r="D165" s="634" t="s">
        <v>691</v>
      </c>
      <c r="E165" s="633" t="s">
        <v>414</v>
      </c>
      <c r="F165" s="633">
        <v>14</v>
      </c>
      <c r="G165" s="633">
        <f>+'SOS Results Table 1'!B27</f>
        <v>252</v>
      </c>
      <c r="H165" s="633" t="str">
        <f>+'SOS Results Table 1'!C27</f>
        <v>11.252.25</v>
      </c>
      <c r="I165" s="633" t="str">
        <f>+'SOS Results Table 1'!F27</f>
        <v>Health &amp; Wellness Services</v>
      </c>
      <c r="J165" s="659">
        <f>+'SOS Results Table 1'!G23</f>
        <v>0</v>
      </c>
      <c r="K165" s="659"/>
      <c r="L165" s="637" t="e">
        <f>+'SOS Results Table 1'!#REF!</f>
        <v>#REF!</v>
      </c>
      <c r="M165" s="637" t="e">
        <f>+'SOS Results Table 1'!#REF!</f>
        <v>#REF!</v>
      </c>
      <c r="N165" s="637" t="s">
        <v>649</v>
      </c>
    </row>
    <row r="166" spans="1:14">
      <c r="A166">
        <v>163</v>
      </c>
      <c r="B166">
        <v>208</v>
      </c>
      <c r="C166" s="633" t="str">
        <f>+'Campus Selector'!$G$3</f>
        <v>Canton</v>
      </c>
      <c r="D166" s="634" t="s">
        <v>691</v>
      </c>
      <c r="E166" s="633" t="s">
        <v>414</v>
      </c>
      <c r="F166" s="633">
        <v>15</v>
      </c>
      <c r="G166" s="633">
        <f>+'SOS Results Table 1'!B28</f>
        <v>253</v>
      </c>
      <c r="H166" s="633" t="str">
        <f>+'SOS Results Table 1'!C28</f>
        <v>11.253.25</v>
      </c>
      <c r="I166" s="633" t="str">
        <f>+'SOS Results Table 1'!F28</f>
        <v>Student Harmony/Campus Diversity</v>
      </c>
      <c r="J166" s="659">
        <f>+'SOS Results Table 1'!G24</f>
        <v>3.4358388836768219</v>
      </c>
      <c r="K166" s="659"/>
      <c r="L166" s="637" t="e">
        <f>+'SOS Results Table 1'!#REF!</f>
        <v>#REF!</v>
      </c>
      <c r="M166" s="637" t="e">
        <f>+'SOS Results Table 1'!#REF!</f>
        <v>#REF!</v>
      </c>
      <c r="N166" s="637" t="s">
        <v>649</v>
      </c>
    </row>
    <row r="167" spans="1:14">
      <c r="A167">
        <v>164</v>
      </c>
      <c r="B167">
        <v>209</v>
      </c>
      <c r="C167" s="633" t="str">
        <f>+'Campus Selector'!$G$3</f>
        <v>Canton</v>
      </c>
      <c r="D167" s="634" t="s">
        <v>691</v>
      </c>
      <c r="E167" s="633" t="s">
        <v>414</v>
      </c>
      <c r="F167" s="633">
        <v>16</v>
      </c>
      <c r="G167" s="633">
        <f>+'SOS Results Table 1'!B29</f>
        <v>254</v>
      </c>
      <c r="H167" s="633" t="str">
        <f>+'SOS Results Table 1'!C29</f>
        <v>11.254.25</v>
      </c>
      <c r="I167" s="633" t="str">
        <f>+'SOS Results Table 1'!F29</f>
        <v>Student Life</v>
      </c>
      <c r="J167" s="659">
        <f>+'SOS Results Table 1'!G25</f>
        <v>3.0106571936056836</v>
      </c>
      <c r="K167" s="659"/>
      <c r="L167" s="637" t="e">
        <f>+'SOS Results Table 1'!#REF!</f>
        <v>#REF!</v>
      </c>
      <c r="M167" s="637" t="e">
        <f>+'SOS Results Table 1'!#REF!</f>
        <v>#REF!</v>
      </c>
      <c r="N167" s="637" t="s">
        <v>649</v>
      </c>
    </row>
    <row r="168" spans="1:14">
      <c r="A168">
        <v>165</v>
      </c>
      <c r="B168">
        <v>210</v>
      </c>
      <c r="C168" s="633" t="str">
        <f>+'Campus Selector'!$G$3</f>
        <v>Canton</v>
      </c>
      <c r="D168" s="634" t="s">
        <v>691</v>
      </c>
      <c r="E168" s="633" t="s">
        <v>414</v>
      </c>
      <c r="F168" s="633">
        <v>17</v>
      </c>
      <c r="G168" s="633">
        <f>+'SOS Results Table 1'!B30</f>
        <v>255</v>
      </c>
      <c r="H168" s="633" t="str">
        <f>+'SOS Results Table 1'!C30</f>
        <v>11.255.25</v>
      </c>
      <c r="I168" s="633" t="str">
        <f>+'SOS Results Table 1'!F30</f>
        <v>Post College Advising &amp; Career Planning</v>
      </c>
      <c r="J168" s="659">
        <f>+'SOS Results Table 1'!G26</f>
        <v>3.6850584391296954</v>
      </c>
      <c r="K168" s="659"/>
      <c r="L168" s="637" t="e">
        <f>+'SOS Results Table 1'!#REF!</f>
        <v>#REF!</v>
      </c>
      <c r="M168" s="637" t="e">
        <f>+'SOS Results Table 1'!#REF!</f>
        <v>#REF!</v>
      </c>
      <c r="N168" s="637" t="s">
        <v>649</v>
      </c>
    </row>
    <row r="169" spans="1:14">
      <c r="A169">
        <v>166</v>
      </c>
      <c r="B169">
        <v>211</v>
      </c>
      <c r="C169" s="633" t="str">
        <f>+'Campus Selector'!$G$3</f>
        <v>Canton</v>
      </c>
      <c r="D169" s="634" t="s">
        <v>691</v>
      </c>
      <c r="E169" s="633" t="s">
        <v>414</v>
      </c>
      <c r="F169" s="633">
        <v>18</v>
      </c>
      <c r="G169" s="633">
        <f>+'SOS Results Table 1'!B31</f>
        <v>256</v>
      </c>
      <c r="H169" s="633" t="str">
        <f>+'SOS Results Table 1'!C31</f>
        <v>11.256.25</v>
      </c>
      <c r="I169" s="633" t="str">
        <f>+'SOS Results Table 1'!F31</f>
        <v>Ancillary Campus Services &amp; Facilities</v>
      </c>
      <c r="J169" s="659">
        <f>+'SOS Results Table 1'!G27</f>
        <v>3.6859246920433466</v>
      </c>
      <c r="K169" s="659"/>
      <c r="L169" s="637" t="e">
        <f>+'SOS Results Table 1'!#REF!</f>
        <v>#REF!</v>
      </c>
      <c r="M169" s="637" t="e">
        <f>+'SOS Results Table 1'!#REF!</f>
        <v>#REF!</v>
      </c>
      <c r="N169" s="637" t="s">
        <v>649</v>
      </c>
    </row>
    <row r="170" spans="1:14">
      <c r="A170">
        <v>167</v>
      </c>
      <c r="B170">
        <v>212</v>
      </c>
      <c r="C170" s="633" t="str">
        <f>+'Campus Selector'!$G$3</f>
        <v>Canton</v>
      </c>
      <c r="D170" s="634" t="s">
        <v>691</v>
      </c>
      <c r="E170" s="633" t="s">
        <v>414</v>
      </c>
      <c r="F170" s="633">
        <v>19</v>
      </c>
      <c r="G170" s="633">
        <f>+'SOS Results Table 1'!B32</f>
        <v>247</v>
      </c>
      <c r="H170" s="633" t="str">
        <f>+'SOS Results Table 1'!C32</f>
        <v>11.247.25</v>
      </c>
      <c r="I170" s="633" t="str">
        <f>+'SOS Results Table 1'!F32</f>
        <v>Campus Security</v>
      </c>
      <c r="J170" s="659">
        <f>+'SOS Results Table 1'!G28</f>
        <v>3.507527355703941</v>
      </c>
      <c r="K170" s="659"/>
      <c r="L170" s="637" t="e">
        <f>+'SOS Results Table 1'!#REF!</f>
        <v>#REF!</v>
      </c>
      <c r="M170" s="637" t="e">
        <f>+'SOS Results Table 1'!#REF!</f>
        <v>#REF!</v>
      </c>
      <c r="N170" s="637" t="s">
        <v>649</v>
      </c>
    </row>
    <row r="171" spans="1:14">
      <c r="A171">
        <v>168</v>
      </c>
      <c r="D171" s="634"/>
      <c r="J171" s="659"/>
      <c r="K171" s="659"/>
      <c r="L171" s="637"/>
      <c r="M171" s="637"/>
      <c r="N171" s="637"/>
    </row>
    <row r="172" spans="1:14">
      <c r="A172">
        <v>169</v>
      </c>
      <c r="B172">
        <v>214</v>
      </c>
      <c r="C172" s="633" t="str">
        <f>+'Campus Selector'!$G$3</f>
        <v>Canton</v>
      </c>
      <c r="D172" s="634" t="s">
        <v>692</v>
      </c>
      <c r="E172" s="633" t="s">
        <v>413</v>
      </c>
      <c r="F172" s="633">
        <v>1</v>
      </c>
      <c r="G172" s="633">
        <f>+'SOS Results Table 2'!B9</f>
        <v>289</v>
      </c>
      <c r="H172" s="633" t="str">
        <f>+'SOS Results Table 2'!C9</f>
        <v>11.289.25</v>
      </c>
      <c r="I172" s="633" t="str">
        <f>+'SOS Results Table 2'!F9</f>
        <v>Satisfaction with the College in General</v>
      </c>
      <c r="J172" s="659">
        <f>+'SOS Results Table 2'!K9</f>
        <v>3.5764705882352943</v>
      </c>
      <c r="K172" s="659"/>
      <c r="L172" s="637" t="e">
        <f>+'SOS Results Table 2'!#REF!</f>
        <v>#REF!</v>
      </c>
      <c r="M172" s="637" t="e">
        <f>+'SOS Results Table 2'!#REF!</f>
        <v>#REF!</v>
      </c>
      <c r="N172" s="637" t="s">
        <v>649</v>
      </c>
    </row>
    <row r="173" spans="1:14">
      <c r="A173">
        <v>170</v>
      </c>
      <c r="B173">
        <v>215</v>
      </c>
      <c r="C173" s="633" t="str">
        <f>+'Campus Selector'!$G$3</f>
        <v>Canton</v>
      </c>
      <c r="D173" s="634" t="s">
        <v>692</v>
      </c>
      <c r="E173" s="633" t="s">
        <v>413</v>
      </c>
      <c r="F173" s="633">
        <v>2</v>
      </c>
      <c r="G173" s="633">
        <f>+'SOS Results Table 2'!B10</f>
        <v>288</v>
      </c>
      <c r="H173" s="633" t="str">
        <f>+'SOS Results Table 2'!C10</f>
        <v>11.288.25</v>
      </c>
      <c r="I173" s="633" t="str">
        <f>+'SOS Results Table 2'!F10</f>
        <v>Overall Impression of the Quality of Education</v>
      </c>
      <c r="J173" s="659">
        <f>+'SOS Results Table 2'!K10</f>
        <v>3.463743676222597</v>
      </c>
      <c r="K173" s="659"/>
      <c r="L173" s="637" t="e">
        <f>+'SOS Results Table 2'!#REF!</f>
        <v>#REF!</v>
      </c>
      <c r="M173" s="637" t="e">
        <f>+'SOS Results Table 2'!#REF!</f>
        <v>#REF!</v>
      </c>
      <c r="N173" s="637" t="s">
        <v>649</v>
      </c>
    </row>
    <row r="174" spans="1:14">
      <c r="A174">
        <v>171</v>
      </c>
      <c r="B174">
        <v>216</v>
      </c>
      <c r="C174" s="633" t="str">
        <f>+'Campus Selector'!$G$3</f>
        <v>Canton</v>
      </c>
      <c r="D174" s="634" t="s">
        <v>692</v>
      </c>
      <c r="E174" s="633" t="s">
        <v>413</v>
      </c>
      <c r="F174" s="633">
        <v>3</v>
      </c>
      <c r="G174" s="633">
        <f>+'SOS Results Table 2'!B11</f>
        <v>287</v>
      </c>
      <c r="H174" s="633" t="str">
        <f>+'SOS Results Table 2'!C11</f>
        <v>11.287.25</v>
      </c>
      <c r="I174" s="633" t="str">
        <f>+'SOS Results Table 2'!F11</f>
        <v>Would Choose to Attend the College Again</v>
      </c>
      <c r="J174" s="659">
        <f>+'SOS Results Table 2'!K11</f>
        <v>3.563758389261745</v>
      </c>
      <c r="K174" s="659"/>
      <c r="L174" s="637" t="e">
        <f>+'SOS Results Table 2'!#REF!</f>
        <v>#REF!</v>
      </c>
      <c r="M174" s="637" t="e">
        <f>+'SOS Results Table 2'!#REF!</f>
        <v>#REF!</v>
      </c>
      <c r="N174" s="637" t="s">
        <v>649</v>
      </c>
    </row>
    <row r="175" spans="1:14">
      <c r="A175">
        <v>172</v>
      </c>
      <c r="B175">
        <v>217</v>
      </c>
      <c r="C175" s="633" t="str">
        <f>+'Campus Selector'!$G$3</f>
        <v>Canton</v>
      </c>
      <c r="D175" s="634" t="s">
        <v>692</v>
      </c>
      <c r="E175" s="633" t="s">
        <v>413</v>
      </c>
      <c r="F175" s="633">
        <v>4</v>
      </c>
      <c r="G175" s="633">
        <f>+'SOS Results Table 2'!B12</f>
        <v>290</v>
      </c>
      <c r="H175" s="633" t="str">
        <f>+'SOS Results Table 2'!C12</f>
        <v>11.290.25</v>
      </c>
      <c r="I175" s="633" t="str">
        <f>+'SOS Results Table 2'!F12</f>
        <v>Academic Experiences (compared to expectations)</v>
      </c>
      <c r="J175" s="659">
        <f>+'SOS Results Table 2'!K12</f>
        <v>2.8154362416107381</v>
      </c>
      <c r="K175" s="659"/>
      <c r="L175" s="637" t="e">
        <f>+'SOS Results Table 2'!#REF!</f>
        <v>#REF!</v>
      </c>
      <c r="M175" s="637" t="e">
        <f>+'SOS Results Table 2'!#REF!</f>
        <v>#REF!</v>
      </c>
      <c r="N175" s="637" t="s">
        <v>649</v>
      </c>
    </row>
    <row r="176" spans="1:14">
      <c r="A176">
        <v>173</v>
      </c>
      <c r="B176">
        <v>218</v>
      </c>
      <c r="C176" s="633" t="str">
        <f>+'Campus Selector'!$G$3</f>
        <v>Canton</v>
      </c>
      <c r="D176" s="634" t="s">
        <v>692</v>
      </c>
      <c r="E176" s="633" t="s">
        <v>413</v>
      </c>
      <c r="F176" s="633">
        <v>5</v>
      </c>
      <c r="G176" s="633">
        <f>+'SOS Results Table 2'!B13</f>
        <v>291</v>
      </c>
      <c r="H176" s="633" t="str">
        <f>+'SOS Results Table 2'!C13</f>
        <v>11.291.25</v>
      </c>
      <c r="I176" s="633" t="str">
        <f>+'SOS Results Table 2'!F13</f>
        <v>Helped Me Meet the Goals I Came Here to Achieve</v>
      </c>
      <c r="J176" s="659">
        <f>+'SOS Results Table 2'!K13</f>
        <v>3.5094017094017094</v>
      </c>
      <c r="K176" s="659"/>
      <c r="L176" s="637" t="e">
        <f>+'SOS Results Table 2'!#REF!</f>
        <v>#REF!</v>
      </c>
      <c r="M176" s="637" t="e">
        <f>+'SOS Results Table 2'!#REF!</f>
        <v>#REF!</v>
      </c>
      <c r="N176" s="637" t="s">
        <v>649</v>
      </c>
    </row>
    <row r="177" spans="1:14">
      <c r="A177">
        <v>174</v>
      </c>
      <c r="B177">
        <v>219</v>
      </c>
      <c r="C177" s="633" t="str">
        <f>+'Campus Selector'!$G$3</f>
        <v>Canton</v>
      </c>
      <c r="D177" s="634" t="s">
        <v>692</v>
      </c>
      <c r="E177" s="633" t="s">
        <v>413</v>
      </c>
      <c r="F177" s="633">
        <v>6</v>
      </c>
      <c r="G177" s="633">
        <f>+'SOS Results Table 2'!B14</f>
        <v>292</v>
      </c>
      <c r="H177" s="633" t="str">
        <f>+'SOS Results Table 2'!C14</f>
        <v>11.292.25</v>
      </c>
      <c r="I177" s="633" t="str">
        <f>+'SOS Results Table 2'!F14</f>
        <v>Faculty Used Innovative Technology to Facilitate Learning</v>
      </c>
      <c r="J177" s="659">
        <f>+'SOS Results Table 2'!K14</f>
        <v>3.3231810490693738</v>
      </c>
      <c r="K177" s="659"/>
      <c r="L177" s="637" t="e">
        <f>+'SOS Results Table 2'!#REF!</f>
        <v>#REF!</v>
      </c>
      <c r="M177" s="637" t="e">
        <f>+'SOS Results Table 2'!#REF!</f>
        <v>#REF!</v>
      </c>
      <c r="N177" s="637" t="s">
        <v>649</v>
      </c>
    </row>
    <row r="178" spans="1:14">
      <c r="A178">
        <v>175</v>
      </c>
      <c r="B178">
        <v>220</v>
      </c>
      <c r="C178" s="633" t="str">
        <f>+'Campus Selector'!$G$3</f>
        <v>Canton</v>
      </c>
      <c r="D178" s="634" t="s">
        <v>692</v>
      </c>
      <c r="E178" s="633" t="s">
        <v>413</v>
      </c>
      <c r="F178" s="633">
        <v>7</v>
      </c>
      <c r="G178" s="633">
        <f>+'SOS Results Table 2'!B15</f>
        <v>293</v>
      </c>
      <c r="H178" s="633" t="str">
        <f>+'SOS Results Table 2'!C15</f>
        <v>11.293.25</v>
      </c>
      <c r="I178" s="633" t="str">
        <f>+'SOS Results Table 2'!F15</f>
        <v>Engaged in Research or Other Creative Projects</v>
      </c>
      <c r="J178" s="659" t="str">
        <f>+'SOS Results Table 2'!K15</f>
        <v>n/a</v>
      </c>
      <c r="K178" s="659"/>
      <c r="L178" s="637" t="e">
        <f>+'SOS Results Table 2'!#REF!</f>
        <v>#REF!</v>
      </c>
      <c r="M178" s="637" t="e">
        <f>+'SOS Results Table 2'!#REF!</f>
        <v>#REF!</v>
      </c>
      <c r="N178" s="637" t="s">
        <v>649</v>
      </c>
    </row>
    <row r="179" spans="1:14">
      <c r="A179">
        <v>176</v>
      </c>
      <c r="B179">
        <v>221</v>
      </c>
      <c r="C179" s="633" t="str">
        <f>+'Campus Selector'!$G$3</f>
        <v>Canton</v>
      </c>
      <c r="D179" s="634" t="s">
        <v>692</v>
      </c>
      <c r="E179" s="633" t="s">
        <v>413</v>
      </c>
      <c r="F179" s="633">
        <v>8</v>
      </c>
      <c r="G179" s="633">
        <f>+'SOS Results Table 2'!B16</f>
        <v>286</v>
      </c>
      <c r="H179" s="633" t="str">
        <f>+'SOS Results Table 2'!C16</f>
        <v>11.286.25</v>
      </c>
      <c r="I179" s="633" t="str">
        <f>+'SOS Results Table 2'!F16</f>
        <v>Acquiring Knowledge and Skills for a Career</v>
      </c>
      <c r="J179" s="659">
        <f>+'SOS Results Table 2'!K16</f>
        <v>3.6866438356164384</v>
      </c>
      <c r="K179" s="659"/>
      <c r="L179" s="637" t="e">
        <f>+'SOS Results Table 2'!#REF!</f>
        <v>#REF!</v>
      </c>
      <c r="M179" s="637" t="e">
        <f>+'SOS Results Table 2'!#REF!</f>
        <v>#REF!</v>
      </c>
      <c r="N179" s="637" t="s">
        <v>649</v>
      </c>
    </row>
    <row r="180" spans="1:14">
      <c r="A180">
        <v>177</v>
      </c>
      <c r="B180">
        <v>222</v>
      </c>
      <c r="C180" s="633" t="str">
        <f>+'Campus Selector'!$G$3</f>
        <v>Canton</v>
      </c>
      <c r="D180" s="634" t="s">
        <v>692</v>
      </c>
      <c r="E180" s="633" t="s">
        <v>413</v>
      </c>
      <c r="F180" s="633">
        <v>9</v>
      </c>
      <c r="G180" s="633">
        <f>+'SOS Results Table 2'!B17</f>
        <v>304</v>
      </c>
      <c r="H180" s="633" t="str">
        <f>+'SOS Results Table 2'!C17</f>
        <v>11.304.25</v>
      </c>
      <c r="I180" s="633" t="str">
        <f>+'SOS Results Table 2'!F17</f>
        <v>Understanding and Appreciating Diversity</v>
      </c>
      <c r="J180" s="659">
        <f>+'SOS Results Table 2'!K17</f>
        <v>3.0567986230636834</v>
      </c>
      <c r="K180" s="659"/>
      <c r="L180" s="637" t="e">
        <f>+'SOS Results Table 2'!#REF!</f>
        <v>#REF!</v>
      </c>
      <c r="M180" s="637" t="e">
        <f>+'SOS Results Table 2'!#REF!</f>
        <v>#REF!</v>
      </c>
      <c r="N180" s="637" t="s">
        <v>649</v>
      </c>
    </row>
    <row r="181" spans="1:14">
      <c r="A181">
        <v>178</v>
      </c>
      <c r="B181">
        <v>223</v>
      </c>
      <c r="C181" s="633" t="str">
        <f>+'Campus Selector'!$G$3</f>
        <v>Canton</v>
      </c>
      <c r="D181" s="634" t="s">
        <v>692</v>
      </c>
      <c r="E181" s="633" t="s">
        <v>413</v>
      </c>
      <c r="F181" s="633">
        <v>10</v>
      </c>
      <c r="G181" s="633">
        <f>+'SOS Results Table 2'!B20</f>
        <v>276</v>
      </c>
      <c r="H181" s="633" t="str">
        <f>+'SOS Results Table 2'!C20</f>
        <v>11.276.25</v>
      </c>
      <c r="I181" s="633" t="str">
        <f>+'SOS Results Table 2'!F20</f>
        <v>Quality of Instruction</v>
      </c>
      <c r="J181" s="659">
        <f>+'SOS Results Table 2'!K20</f>
        <v>3.7745974955277282</v>
      </c>
      <c r="K181" s="659"/>
      <c r="L181" s="637" t="e">
        <f>+'SOS Results Table 2'!#REF!</f>
        <v>#REF!</v>
      </c>
      <c r="M181" s="637" t="e">
        <f>+'SOS Results Table 2'!#REF!</f>
        <v>#REF!</v>
      </c>
      <c r="N181" s="637" t="s">
        <v>649</v>
      </c>
    </row>
    <row r="182" spans="1:14">
      <c r="A182">
        <v>179</v>
      </c>
      <c r="B182">
        <v>224</v>
      </c>
      <c r="C182" s="633" t="str">
        <f>+'Campus Selector'!$G$3</f>
        <v>Canton</v>
      </c>
      <c r="D182" s="634" t="s">
        <v>692</v>
      </c>
      <c r="E182" s="633" t="s">
        <v>413</v>
      </c>
      <c r="F182" s="633">
        <v>11</v>
      </c>
      <c r="G182" s="633">
        <f>+'SOS Results Table 2'!B21</f>
        <v>277</v>
      </c>
      <c r="H182" s="633" t="str">
        <f>+'SOS Results Table 2'!C21</f>
        <v>11.277.25</v>
      </c>
      <c r="I182" s="633" t="str">
        <f>+'SOS Results Table 2'!F21</f>
        <v>Academic Advising, General</v>
      </c>
      <c r="J182" s="659">
        <f>+'SOS Results Table 2'!K21</f>
        <v>3.5979166666666669</v>
      </c>
      <c r="K182" s="659"/>
      <c r="L182" s="637" t="e">
        <f>+'SOS Results Table 2'!#REF!</f>
        <v>#REF!</v>
      </c>
      <c r="M182" s="637" t="e">
        <f>+'SOS Results Table 2'!#REF!</f>
        <v>#REF!</v>
      </c>
      <c r="N182" s="637" t="s">
        <v>649</v>
      </c>
    </row>
    <row r="183" spans="1:14">
      <c r="A183">
        <v>180</v>
      </c>
      <c r="B183">
        <v>225</v>
      </c>
      <c r="C183" s="633" t="str">
        <f>+'Campus Selector'!$G$3</f>
        <v>Canton</v>
      </c>
      <c r="D183" s="634" t="s">
        <v>692</v>
      </c>
      <c r="E183" s="633" t="s">
        <v>413</v>
      </c>
      <c r="F183" s="633">
        <v>12</v>
      </c>
      <c r="G183" s="633">
        <f>+'SOS Results Table 2'!B22</f>
        <v>279</v>
      </c>
      <c r="H183" s="633" t="str">
        <f>+'SOS Results Table 2'!C22</f>
        <v>11.279.25</v>
      </c>
      <c r="I183" s="633" t="str">
        <f>+'SOS Results Table 2'!F22</f>
        <v>Access to Computing / College Computer Network</v>
      </c>
      <c r="J183" s="659">
        <f>+'SOS Results Table 2'!K22</f>
        <v>3.6846011131725418</v>
      </c>
      <c r="K183" s="659"/>
      <c r="L183" s="637" t="e">
        <f>+'SOS Results Table 2'!#REF!</f>
        <v>#REF!</v>
      </c>
      <c r="M183" s="637" t="e">
        <f>+'SOS Results Table 2'!#REF!</f>
        <v>#REF!</v>
      </c>
      <c r="N183" s="637" t="s">
        <v>649</v>
      </c>
    </row>
    <row r="184" spans="1:14">
      <c r="A184">
        <v>181</v>
      </c>
      <c r="B184">
        <v>226</v>
      </c>
      <c r="C184" s="633" t="str">
        <f>+'Campus Selector'!$G$3</f>
        <v>Canton</v>
      </c>
      <c r="D184" s="634" t="s">
        <v>692</v>
      </c>
      <c r="E184" s="633" t="s">
        <v>413</v>
      </c>
      <c r="F184" s="633">
        <v>13</v>
      </c>
      <c r="G184" s="633">
        <f>+'SOS Results Table 2'!B23</f>
        <v>278</v>
      </c>
      <c r="H184" s="633" t="str">
        <f>+'SOS Results Table 2'!C23</f>
        <v>11.278.25</v>
      </c>
      <c r="I184" s="633" t="str">
        <f>+'SOS Results Table 2'!F23</f>
        <v>Library Resources and Services</v>
      </c>
      <c r="J184" s="659">
        <f>+'SOS Results Table 2'!K23</f>
        <v>3.9183673469387754</v>
      </c>
      <c r="K184" s="659"/>
      <c r="L184" s="637" t="e">
        <f>+'SOS Results Table 2'!#REF!</f>
        <v>#REF!</v>
      </c>
      <c r="M184" s="637" t="e">
        <f>+'SOS Results Table 2'!#REF!</f>
        <v>#REF!</v>
      </c>
      <c r="N184" s="637" t="s">
        <v>649</v>
      </c>
    </row>
    <row r="185" spans="1:14">
      <c r="A185">
        <v>182</v>
      </c>
      <c r="B185">
        <v>227</v>
      </c>
      <c r="C185" s="633" t="str">
        <f>+'Campus Selector'!$G$3</f>
        <v>Canton</v>
      </c>
      <c r="D185" s="634" t="s">
        <v>692</v>
      </c>
      <c r="E185" s="633" t="s">
        <v>413</v>
      </c>
      <c r="F185" s="633">
        <v>14</v>
      </c>
      <c r="G185" s="633">
        <f>+'SOS Results Table 2'!B24</f>
        <v>280</v>
      </c>
      <c r="H185" s="633" t="str">
        <f>+'SOS Results Table 2'!C24</f>
        <v>11.280.25</v>
      </c>
      <c r="I185" s="633" t="str">
        <f>+'SOS Results Table 2'!F24</f>
        <v>Class Size Relative to Course Type</v>
      </c>
      <c r="J185" s="659">
        <f>+'SOS Results Table 2'!K24</f>
        <v>3.9519572953736657</v>
      </c>
      <c r="K185" s="659"/>
      <c r="L185" s="637" t="e">
        <f>+'SOS Results Table 2'!#REF!</f>
        <v>#REF!</v>
      </c>
      <c r="M185" s="637" t="e">
        <f>+'SOS Results Table 2'!#REF!</f>
        <v>#REF!</v>
      </c>
      <c r="N185" s="637" t="s">
        <v>649</v>
      </c>
    </row>
    <row r="186" spans="1:14">
      <c r="A186">
        <v>183</v>
      </c>
      <c r="B186">
        <v>228</v>
      </c>
      <c r="C186" s="633" t="str">
        <f>+'Campus Selector'!$G$3</f>
        <v>Canton</v>
      </c>
      <c r="D186" s="634" t="s">
        <v>692</v>
      </c>
      <c r="E186" s="633" t="s">
        <v>413</v>
      </c>
      <c r="F186" s="633">
        <v>15</v>
      </c>
      <c r="G186" s="633">
        <f>+'SOS Results Table 2'!B25</f>
        <v>281</v>
      </c>
      <c r="H186" s="633" t="str">
        <f>+'SOS Results Table 2'!C25</f>
        <v>11.281.25</v>
      </c>
      <c r="I186" s="633" t="str">
        <f>+'SOS Results Table 2'!F25</f>
        <v>Availability of Courses in Major</v>
      </c>
      <c r="J186" s="659">
        <f>+'SOS Results Table 2'!K25</f>
        <v>3.5907473309608542</v>
      </c>
      <c r="K186" s="659"/>
      <c r="L186" s="637" t="e">
        <f>+'SOS Results Table 2'!#REF!</f>
        <v>#REF!</v>
      </c>
      <c r="M186" s="637" t="e">
        <f>+'SOS Results Table 2'!#REF!</f>
        <v>#REF!</v>
      </c>
      <c r="N186" s="637" t="s">
        <v>649</v>
      </c>
    </row>
    <row r="187" spans="1:14">
      <c r="A187">
        <v>184</v>
      </c>
      <c r="B187">
        <v>229</v>
      </c>
      <c r="C187" s="633" t="str">
        <f>+'Campus Selector'!$G$3</f>
        <v>Canton</v>
      </c>
      <c r="D187" s="634" t="s">
        <v>692</v>
      </c>
      <c r="E187" s="633" t="s">
        <v>413</v>
      </c>
      <c r="F187" s="633">
        <v>16</v>
      </c>
      <c r="G187" s="633">
        <f>+'SOS Results Table 2'!B26</f>
        <v>294</v>
      </c>
      <c r="H187" s="633" t="str">
        <f>+'SOS Results Table 2'!C26</f>
        <v>11.294.25</v>
      </c>
      <c r="I187" s="633" t="str">
        <f>+'SOS Results Table 2'!F26</f>
        <v>Availability of Gen Ed Courses</v>
      </c>
      <c r="J187" s="659">
        <f>+'SOS Results Table 2'!K26</f>
        <v>3.59375</v>
      </c>
      <c r="K187" s="659"/>
      <c r="L187" s="637" t="e">
        <f>+'SOS Results Table 2'!#REF!</f>
        <v>#REF!</v>
      </c>
      <c r="M187" s="637" t="e">
        <f>+'SOS Results Table 2'!#REF!</f>
        <v>#REF!</v>
      </c>
      <c r="N187" s="637" t="s">
        <v>649</v>
      </c>
    </row>
    <row r="188" spans="1:14">
      <c r="A188">
        <v>185</v>
      </c>
      <c r="B188">
        <v>230</v>
      </c>
      <c r="C188" s="633" t="str">
        <f>+'Campus Selector'!$G$3</f>
        <v>Canton</v>
      </c>
      <c r="D188" s="634" t="s">
        <v>692</v>
      </c>
      <c r="E188" s="633" t="s">
        <v>413</v>
      </c>
      <c r="F188" s="633">
        <v>17</v>
      </c>
      <c r="G188" s="633">
        <f>+'SOS Results Table 2'!B27</f>
        <v>295</v>
      </c>
      <c r="H188" s="633" t="str">
        <f>+'SOS Results Table 2'!C27</f>
        <v>11.295.25</v>
      </c>
      <c r="I188" s="633" t="str">
        <f>+'SOS Results Table 2'!F27</f>
        <v>Availability of Internships</v>
      </c>
      <c r="J188" s="659">
        <f>+'SOS Results Table 2'!K27</f>
        <v>3.0971223021582732</v>
      </c>
      <c r="K188" s="659"/>
      <c r="L188" s="637" t="e">
        <f>+'SOS Results Table 2'!#REF!</f>
        <v>#REF!</v>
      </c>
      <c r="M188" s="637" t="e">
        <f>+'SOS Results Table 2'!#REF!</f>
        <v>#REF!</v>
      </c>
      <c r="N188" s="637" t="s">
        <v>649</v>
      </c>
    </row>
    <row r="189" spans="1:14">
      <c r="A189">
        <v>186</v>
      </c>
      <c r="B189">
        <v>231</v>
      </c>
      <c r="C189" s="633" t="str">
        <f>+'Campus Selector'!$G$3</f>
        <v>Canton</v>
      </c>
      <c r="D189" s="634" t="s">
        <v>692</v>
      </c>
      <c r="E189" s="633" t="s">
        <v>413</v>
      </c>
      <c r="F189" s="633">
        <v>18</v>
      </c>
      <c r="G189" s="633">
        <f>+'SOS Results Table 2'!B28</f>
        <v>282</v>
      </c>
      <c r="H189" s="633" t="str">
        <f>+'SOS Results Table 2'!C28</f>
        <v>11.282.25</v>
      </c>
      <c r="I189" s="633" t="str">
        <f>+'SOS Results Table 2'!F28</f>
        <v>General Condition of Buildings and Grounds</v>
      </c>
      <c r="J189" s="659">
        <f>+'SOS Results Table 2'!K28</f>
        <v>3.5538461538461537</v>
      </c>
      <c r="K189" s="659"/>
      <c r="L189" s="637" t="e">
        <f>+'SOS Results Table 2'!#REF!</f>
        <v>#REF!</v>
      </c>
      <c r="M189" s="637" t="e">
        <f>+'SOS Results Table 2'!#REF!</f>
        <v>#REF!</v>
      </c>
      <c r="N189" s="637" t="s">
        <v>649</v>
      </c>
    </row>
    <row r="190" spans="1:14">
      <c r="A190">
        <v>187</v>
      </c>
      <c r="B190">
        <v>232</v>
      </c>
      <c r="C190" s="633" t="str">
        <f>+'Campus Selector'!$G$3</f>
        <v>Canton</v>
      </c>
      <c r="D190" s="634" t="s">
        <v>692</v>
      </c>
      <c r="E190" s="633" t="s">
        <v>413</v>
      </c>
      <c r="F190" s="633">
        <v>19</v>
      </c>
      <c r="G190" s="633">
        <f>+'SOS Results Table 2'!B31</f>
        <v>285</v>
      </c>
      <c r="H190" s="633" t="str">
        <f>+'SOS Results Table 2'!C31</f>
        <v>11.285.25</v>
      </c>
      <c r="I190" s="633" t="str">
        <f>+'SOS Results Table 2'!F31</f>
        <v>Sense of Belonging</v>
      </c>
      <c r="J190" s="659">
        <f>+'SOS Results Table 2'!K31</f>
        <v>3.5195911413969334</v>
      </c>
      <c r="K190" s="659"/>
      <c r="L190" s="637" t="e">
        <f>+'SOS Results Table 2'!#REF!</f>
        <v>#REF!</v>
      </c>
      <c r="M190" s="637" t="e">
        <f>+'SOS Results Table 2'!#REF!</f>
        <v>#REF!</v>
      </c>
      <c r="N190" s="637" t="s">
        <v>649</v>
      </c>
    </row>
    <row r="191" spans="1:14">
      <c r="A191">
        <v>188</v>
      </c>
      <c r="B191">
        <v>233</v>
      </c>
      <c r="C191" s="633" t="str">
        <f>+'Campus Selector'!$G$3</f>
        <v>Canton</v>
      </c>
      <c r="D191" s="634" t="s">
        <v>692</v>
      </c>
      <c r="E191" s="633" t="s">
        <v>413</v>
      </c>
      <c r="F191" s="633">
        <v>20</v>
      </c>
      <c r="G191" s="633">
        <f>+'SOS Results Table 2'!B32</f>
        <v>284</v>
      </c>
      <c r="H191" s="633" t="str">
        <f>+'SOS Results Table 2'!C32</f>
        <v>11.284.25</v>
      </c>
      <c r="I191" s="633" t="str">
        <f>+'SOS Results Table 2'!F32</f>
        <v>Faculty Respect for Students</v>
      </c>
      <c r="J191" s="659">
        <f>+'SOS Results Table 2'!K32</f>
        <v>3.8609715242881073</v>
      </c>
      <c r="K191" s="659"/>
      <c r="L191" s="637" t="e">
        <f>+'SOS Results Table 2'!#REF!</f>
        <v>#REF!</v>
      </c>
      <c r="M191" s="637" t="e">
        <f>+'SOS Results Table 2'!#REF!</f>
        <v>#REF!</v>
      </c>
      <c r="N191" s="637" t="s">
        <v>649</v>
      </c>
    </row>
    <row r="192" spans="1:14">
      <c r="A192">
        <v>189</v>
      </c>
      <c r="B192">
        <v>234</v>
      </c>
      <c r="C192" s="633" t="str">
        <f>+'Campus Selector'!$G$3</f>
        <v>Canton</v>
      </c>
      <c r="D192" s="634" t="s">
        <v>692</v>
      </c>
      <c r="E192" s="633" t="s">
        <v>413</v>
      </c>
      <c r="F192" s="633">
        <v>21</v>
      </c>
      <c r="G192" s="633">
        <f>+'SOS Results Table 2'!B33</f>
        <v>296</v>
      </c>
      <c r="H192" s="633" t="str">
        <f>+'SOS Results Table 2'!C33</f>
        <v>11.296.25</v>
      </c>
      <c r="I192" s="633" t="str">
        <f>+'SOS Results Table 2'!F33</f>
        <v>Personal Security/Safety</v>
      </c>
      <c r="J192" s="659">
        <f>+'SOS Results Table 2'!K33</f>
        <v>3.7055749128919859</v>
      </c>
      <c r="K192" s="659"/>
      <c r="L192" s="637" t="e">
        <f>+'SOS Results Table 2'!#REF!</f>
        <v>#REF!</v>
      </c>
      <c r="M192" s="637" t="e">
        <f>+'SOS Results Table 2'!#REF!</f>
        <v>#REF!</v>
      </c>
      <c r="N192" s="637" t="s">
        <v>649</v>
      </c>
    </row>
    <row r="193" spans="1:14">
      <c r="A193">
        <v>190</v>
      </c>
      <c r="B193">
        <v>235</v>
      </c>
      <c r="C193" s="633" t="str">
        <f>+'Campus Selector'!$G$3</f>
        <v>Canton</v>
      </c>
      <c r="D193" s="634" t="s">
        <v>692</v>
      </c>
      <c r="E193" s="633" t="s">
        <v>413</v>
      </c>
      <c r="F193" s="633">
        <v>22</v>
      </c>
      <c r="G193" s="633">
        <f>+'SOS Results Table 2'!B34</f>
        <v>297</v>
      </c>
      <c r="H193" s="633" t="str">
        <f>+'SOS Results Table 2'!C34</f>
        <v>11.297.25</v>
      </c>
      <c r="I193" s="633" t="str">
        <f>+'SOS Results Table 2'!F34</f>
        <v>Sexual Assault Prevention Programs/Activities</v>
      </c>
      <c r="J193" s="659">
        <f>+'SOS Results Table 2'!K34</f>
        <v>3.3778501628664497</v>
      </c>
      <c r="K193" s="659"/>
      <c r="L193" s="637" t="e">
        <f>+'SOS Results Table 2'!#REF!</f>
        <v>#REF!</v>
      </c>
      <c r="M193" s="637" t="e">
        <f>+'SOS Results Table 2'!#REF!</f>
        <v>#REF!</v>
      </c>
      <c r="N193" s="637" t="s">
        <v>649</v>
      </c>
    </row>
    <row r="194" spans="1:14">
      <c r="A194">
        <v>191</v>
      </c>
      <c r="B194">
        <v>236</v>
      </c>
      <c r="C194" s="633" t="str">
        <f>+'Campus Selector'!$G$3</f>
        <v>Canton</v>
      </c>
      <c r="D194" s="634" t="s">
        <v>692</v>
      </c>
      <c r="E194" s="633" t="s">
        <v>413</v>
      </c>
      <c r="F194" s="633">
        <v>23</v>
      </c>
      <c r="G194" s="633">
        <f>+'SOS Results Table 2'!B35</f>
        <v>298</v>
      </c>
      <c r="H194" s="633" t="str">
        <f>+'SOS Results Table 2'!C35</f>
        <v>11.298.25</v>
      </c>
      <c r="I194" s="633" t="str">
        <f>+'SOS Results Table 2'!F35</f>
        <v>Degree of Difficulty Financing College Education</v>
      </c>
      <c r="J194" s="659">
        <f>+'SOS Results Table 2'!K35</f>
        <v>3.1552901023890785</v>
      </c>
      <c r="K194" s="659"/>
      <c r="L194" s="637" t="e">
        <f>+'SOS Results Table 2'!#REF!</f>
        <v>#REF!</v>
      </c>
      <c r="M194" s="637" t="e">
        <f>+'SOS Results Table 2'!#REF!</f>
        <v>#REF!</v>
      </c>
      <c r="N194" s="637" t="s">
        <v>649</v>
      </c>
    </row>
    <row r="195" spans="1:14">
      <c r="A195">
        <v>192</v>
      </c>
      <c r="B195">
        <v>237</v>
      </c>
      <c r="C195" s="633" t="str">
        <f>+'Campus Selector'!$G$3</f>
        <v>Canton</v>
      </c>
      <c r="D195" s="634" t="s">
        <v>692</v>
      </c>
      <c r="E195" s="633" t="s">
        <v>413</v>
      </c>
      <c r="F195" s="633">
        <v>24</v>
      </c>
      <c r="G195" s="633">
        <f>+'SOS Results Table 2'!B36</f>
        <v>299</v>
      </c>
      <c r="H195" s="633" t="str">
        <f>+'SOS Results Table 2'!C36</f>
        <v>11.299.25</v>
      </c>
      <c r="I195" s="633" t="str">
        <f>+'SOS Results Table 2'!F36</f>
        <v>Financial Aid Services</v>
      </c>
      <c r="J195" s="659">
        <f>+'SOS Results Table 2'!K36</f>
        <v>3.536412078152753</v>
      </c>
      <c r="K195" s="659"/>
      <c r="L195" s="637" t="e">
        <f>+'SOS Results Table 2'!#REF!</f>
        <v>#REF!</v>
      </c>
      <c r="M195" s="637" t="e">
        <f>+'SOS Results Table 2'!#REF!</f>
        <v>#REF!</v>
      </c>
      <c r="N195" s="637" t="s">
        <v>649</v>
      </c>
    </row>
    <row r="196" spans="1:14">
      <c r="A196">
        <v>193</v>
      </c>
      <c r="B196">
        <v>238</v>
      </c>
      <c r="C196" s="633" t="str">
        <f>+'Campus Selector'!$G$3</f>
        <v>Canton</v>
      </c>
      <c r="D196" s="634" t="s">
        <v>692</v>
      </c>
      <c r="E196" s="633" t="s">
        <v>413</v>
      </c>
      <c r="F196" s="633">
        <v>25</v>
      </c>
      <c r="G196" s="633">
        <f>+'SOS Results Table 2'!B37</f>
        <v>283</v>
      </c>
      <c r="H196" s="633" t="str">
        <f>+'SOS Results Table 2'!C37</f>
        <v>11.283.25</v>
      </c>
      <c r="I196" s="633" t="str">
        <f>+'SOS Results Table 2'!F37</f>
        <v>Condition of Residence Halls</v>
      </c>
      <c r="J196" s="659">
        <f>+'SOS Results Table 2'!K37</f>
        <v>2.8601583113456464</v>
      </c>
      <c r="K196" s="659"/>
      <c r="L196" s="637" t="e">
        <f>+'SOS Results Table 2'!#REF!</f>
        <v>#REF!</v>
      </c>
      <c r="M196" s="637" t="e">
        <f>+'SOS Results Table 2'!#REF!</f>
        <v>#REF!</v>
      </c>
      <c r="N196" s="637" t="s">
        <v>649</v>
      </c>
    </row>
    <row r="197" spans="1:14">
      <c r="A197">
        <v>194</v>
      </c>
      <c r="D197" s="634"/>
      <c r="J197" s="659"/>
      <c r="K197" s="659"/>
      <c r="L197" s="637"/>
      <c r="M197" s="637"/>
      <c r="N197" s="637"/>
    </row>
    <row r="198" spans="1:14">
      <c r="A198">
        <v>195</v>
      </c>
      <c r="B198">
        <v>240</v>
      </c>
      <c r="C198" s="633" t="str">
        <f>+'Campus Selector'!$G$3</f>
        <v>Canton</v>
      </c>
      <c r="D198" s="634" t="s">
        <v>693</v>
      </c>
      <c r="E198" s="633" t="s">
        <v>573</v>
      </c>
      <c r="F198" s="633">
        <v>1</v>
      </c>
      <c r="G198" s="633">
        <f>+'Financial Aid Literacy'!B11</f>
        <v>209</v>
      </c>
      <c r="H198" s="633" t="str">
        <f>+'Financial Aid Literacy'!C11</f>
        <v>16.209.25</v>
      </c>
      <c r="I198" s="633" t="str">
        <f>+'Financial Aid Literacy'!E11</f>
        <v>Default Rate - 2YR</v>
      </c>
      <c r="J198" s="633">
        <f>+'Financial Aid Literacy'!K11</f>
        <v>0</v>
      </c>
      <c r="L198" s="635">
        <f>+'Financial Aid Literacy'!I11</f>
        <v>0</v>
      </c>
      <c r="M198" s="635">
        <f>+'Financial Aid Literacy'!J11</f>
        <v>0</v>
      </c>
      <c r="N198" s="635">
        <f>+'Financial Aid Literacy'!K11</f>
        <v>0</v>
      </c>
    </row>
    <row r="199" spans="1:14">
      <c r="A199">
        <v>196</v>
      </c>
      <c r="B199">
        <v>241</v>
      </c>
      <c r="C199" s="633" t="str">
        <f>+'Campus Selector'!$G$3</f>
        <v>Canton</v>
      </c>
      <c r="D199" s="634" t="s">
        <v>693</v>
      </c>
      <c r="E199" s="633" t="s">
        <v>573</v>
      </c>
      <c r="F199" s="633">
        <v>2</v>
      </c>
      <c r="G199" s="633">
        <f>+'Financial Aid Literacy'!B12</f>
        <v>215</v>
      </c>
      <c r="H199" s="633" t="str">
        <f>+'Financial Aid Literacy'!C12</f>
        <v>16.215.25</v>
      </c>
      <c r="I199" s="633" t="str">
        <f>+'Financial Aid Literacy'!E12</f>
        <v>Default Rate - 3YR</v>
      </c>
      <c r="J199" s="656">
        <f>+'Financial Aid Literacy'!K12</f>
        <v>0.13</v>
      </c>
      <c r="K199" s="656"/>
      <c r="L199" s="635">
        <f>+'Financial Aid Literacy'!I12</f>
        <v>0.17</v>
      </c>
      <c r="M199" s="635">
        <f>+'Financial Aid Literacy'!J12</f>
        <v>0.15</v>
      </c>
      <c r="N199" s="635">
        <f>+'Financial Aid Literacy'!K12</f>
        <v>0.13</v>
      </c>
    </row>
    <row r="200" spans="1:14">
      <c r="A200">
        <v>197</v>
      </c>
      <c r="B200">
        <v>242</v>
      </c>
      <c r="C200" s="633" t="str">
        <f>+'Campus Selector'!$G$3</f>
        <v>Canton</v>
      </c>
      <c r="D200" s="634" t="s">
        <v>693</v>
      </c>
      <c r="E200" s="633" t="s">
        <v>573</v>
      </c>
      <c r="F200" s="633">
        <v>3</v>
      </c>
      <c r="G200" s="633">
        <f>+'Financial Aid Literacy'!B28</f>
        <v>211</v>
      </c>
      <c r="H200" s="633" t="str">
        <f>+'Financial Aid Literacy'!C28</f>
        <v>16.211.25</v>
      </c>
      <c r="I200" s="633" t="str">
        <f>+'Financial Aid Literacy'!E28</f>
        <v>Award Letter</v>
      </c>
      <c r="J200" s="633" t="str">
        <f>+'Financial Aid Literacy'!K28</f>
        <v>X</v>
      </c>
      <c r="L200" s="635" t="str">
        <f>+'Financial Aid Literacy'!I28</f>
        <v>X</v>
      </c>
      <c r="M200" s="635" t="str">
        <f>+'Financial Aid Literacy'!J28</f>
        <v>X</v>
      </c>
      <c r="N200" s="635" t="str">
        <f>+'Financial Aid Literacy'!K28</f>
        <v>X</v>
      </c>
    </row>
    <row r="201" spans="1:14">
      <c r="A201">
        <v>198</v>
      </c>
      <c r="B201">
        <v>243</v>
      </c>
      <c r="C201" s="633" t="str">
        <f>+'Campus Selector'!$G$3</f>
        <v>Canton</v>
      </c>
      <c r="D201" s="634" t="s">
        <v>693</v>
      </c>
      <c r="E201" s="633" t="s">
        <v>573</v>
      </c>
      <c r="F201" s="633">
        <v>4</v>
      </c>
      <c r="G201" s="633">
        <f>+'Financial Aid Literacy'!B29</f>
        <v>212</v>
      </c>
      <c r="H201" s="633" t="str">
        <f>+'Financial Aid Literacy'!C29</f>
        <v>16.212.25</v>
      </c>
      <c r="I201" s="633" t="str">
        <f>+'Financial Aid Literacy'!E29</f>
        <v>Financial Literacy Website</v>
      </c>
      <c r="J201" s="633" t="str">
        <f>+'Financial Aid Literacy'!K29</f>
        <v>X</v>
      </c>
      <c r="L201" s="635" t="str">
        <f>+'Financial Aid Literacy'!I29</f>
        <v>X</v>
      </c>
      <c r="M201" s="635" t="str">
        <f>+'Financial Aid Literacy'!J29</f>
        <v>X</v>
      </c>
      <c r="N201" s="635" t="str">
        <f>+'Financial Aid Literacy'!K29</f>
        <v>X</v>
      </c>
    </row>
    <row r="202" spans="1:14">
      <c r="A202">
        <v>199</v>
      </c>
      <c r="B202">
        <v>244</v>
      </c>
      <c r="C202" s="633" t="str">
        <f>+'Campus Selector'!$G$3</f>
        <v>Canton</v>
      </c>
      <c r="D202" s="634" t="s">
        <v>693</v>
      </c>
      <c r="E202" s="633" t="s">
        <v>573</v>
      </c>
      <c r="F202" s="633">
        <v>5</v>
      </c>
      <c r="G202" s="633">
        <f>+'Financial Aid Literacy'!B30</f>
        <v>213</v>
      </c>
      <c r="H202" s="633" t="str">
        <f>+'Financial Aid Literacy'!C30</f>
        <v>16.213.25</v>
      </c>
      <c r="I202" s="633" t="str">
        <f>+'Financial Aid Literacy'!E30</f>
        <v>Student Engagement (i.e. early alert)</v>
      </c>
      <c r="J202" s="656" t="str">
        <f>+'Financial Aid Literacy'!K30</f>
        <v>x</v>
      </c>
      <c r="K202" s="656"/>
      <c r="L202" s="635" t="str">
        <f>+'Financial Aid Literacy'!I30</f>
        <v>x</v>
      </c>
      <c r="M202" s="635" t="str">
        <f>+'Financial Aid Literacy'!J30</f>
        <v>x</v>
      </c>
      <c r="N202" s="635" t="str">
        <f>+'Financial Aid Literacy'!K30</f>
        <v>x</v>
      </c>
    </row>
    <row r="203" spans="1:14">
      <c r="A203">
        <v>200</v>
      </c>
      <c r="D203" s="634"/>
      <c r="J203" s="656"/>
      <c r="K203" s="656"/>
      <c r="L203" s="635"/>
      <c r="M203" s="635"/>
      <c r="N203" s="635"/>
    </row>
    <row r="204" spans="1:14">
      <c r="A204">
        <v>201</v>
      </c>
      <c r="B204">
        <v>251</v>
      </c>
      <c r="C204" s="633" t="str">
        <f>+'Campus Selector'!$G$3</f>
        <v>Canton</v>
      </c>
      <c r="D204" s="634" t="s">
        <v>694</v>
      </c>
      <c r="E204" s="633" t="s">
        <v>190</v>
      </c>
      <c r="F204" s="633">
        <v>1</v>
      </c>
      <c r="G204" s="633">
        <f>+'Research Expenditures'!B9</f>
        <v>154</v>
      </c>
      <c r="H204" s="633" t="str">
        <f>+'Research Expenditures'!C9</f>
        <v>12.154.25</v>
      </c>
      <c r="I204" s="633" t="str">
        <f>+'Research Expenditures'!E9</f>
        <v xml:space="preserve">Total Sponsored Activity - SUNYRF ($mil.) </v>
      </c>
      <c r="J204" s="633">
        <f>+'Research Expenditures'!K9</f>
        <v>1.4125999299999998</v>
      </c>
      <c r="L204" s="635"/>
      <c r="M204" s="635">
        <f>+'Research Expenditures'!N9</f>
        <v>1.6</v>
      </c>
      <c r="N204" s="635">
        <f>+'Research Expenditures'!O9</f>
        <v>1.9</v>
      </c>
    </row>
    <row r="205" spans="1:14">
      <c r="A205">
        <v>202</v>
      </c>
      <c r="B205">
        <v>252</v>
      </c>
      <c r="C205" s="633" t="str">
        <f>+'Campus Selector'!$G$3</f>
        <v>Canton</v>
      </c>
      <c r="D205" s="634" t="s">
        <v>694</v>
      </c>
      <c r="E205" s="633" t="s">
        <v>190</v>
      </c>
      <c r="F205" s="633">
        <v>2</v>
      </c>
      <c r="G205" s="633">
        <f>+'Research Expenditures'!B10</f>
        <v>65</v>
      </c>
      <c r="H205" s="633" t="str">
        <f>+'Research Expenditures'!C10</f>
        <v>12.065.25</v>
      </c>
      <c r="I205" s="633" t="str">
        <f>+'Research Expenditures'!E10</f>
        <v>Federal</v>
      </c>
      <c r="J205" s="633">
        <f>+'Research Expenditures'!K10</f>
        <v>0.45441063999999998</v>
      </c>
      <c r="L205" s="635"/>
      <c r="M205" s="635">
        <f>+'Research Expenditures'!N10</f>
        <v>0.5</v>
      </c>
      <c r="N205" s="635">
        <f>+'Research Expenditures'!O10</f>
        <v>0.6</v>
      </c>
    </row>
    <row r="206" spans="1:14">
      <c r="A206">
        <v>203</v>
      </c>
      <c r="B206">
        <v>253</v>
      </c>
      <c r="C206" s="633" t="str">
        <f>+'Campus Selector'!$G$3</f>
        <v>Canton</v>
      </c>
      <c r="D206" s="634" t="s">
        <v>694</v>
      </c>
      <c r="E206" s="633" t="s">
        <v>190</v>
      </c>
      <c r="F206" s="633">
        <v>3</v>
      </c>
      <c r="G206" s="633">
        <f>+'Research Expenditures'!B11</f>
        <v>66</v>
      </c>
      <c r="H206" s="633" t="str">
        <f>+'Research Expenditures'!C11</f>
        <v>12.066.25</v>
      </c>
      <c r="I206" s="633" t="str">
        <f>+'Research Expenditures'!E11</f>
        <v>Federal Flow Through</v>
      </c>
      <c r="J206" s="633">
        <f>+'Research Expenditures'!K11</f>
        <v>0.17868307</v>
      </c>
      <c r="L206" s="635"/>
      <c r="M206" s="635">
        <f>+'Research Expenditures'!N11</f>
        <v>0.2</v>
      </c>
      <c r="N206" s="635">
        <f>+'Research Expenditures'!O11</f>
        <v>0.25</v>
      </c>
    </row>
    <row r="207" spans="1:14">
      <c r="A207">
        <v>204</v>
      </c>
      <c r="B207">
        <v>254</v>
      </c>
      <c r="C207" s="633" t="str">
        <f>+'Campus Selector'!$G$3</f>
        <v>Canton</v>
      </c>
      <c r="D207" s="634" t="s">
        <v>694</v>
      </c>
      <c r="E207" s="633" t="s">
        <v>190</v>
      </c>
      <c r="F207" s="633">
        <v>4</v>
      </c>
      <c r="G207" s="633">
        <f>+'Research Expenditures'!B12</f>
        <v>67</v>
      </c>
      <c r="H207" s="633" t="str">
        <f>+'Research Expenditures'!C12</f>
        <v>12.067.25</v>
      </c>
      <c r="I207" s="633" t="str">
        <f>+'Research Expenditures'!E12</f>
        <v>Nonfederal</v>
      </c>
      <c r="J207" s="633">
        <f>+'Research Expenditures'!K12</f>
        <v>0.77950622000000003</v>
      </c>
      <c r="L207" s="635"/>
      <c r="M207" s="635">
        <f>+'Research Expenditures'!N12</f>
        <v>0.9</v>
      </c>
      <c r="N207" s="635">
        <f>+'Research Expenditures'!O12</f>
        <v>1.05</v>
      </c>
    </row>
    <row r="208" spans="1:14">
      <c r="A208">
        <v>205</v>
      </c>
      <c r="B208">
        <v>255</v>
      </c>
      <c r="C208" s="633" t="str">
        <f>+'Campus Selector'!$G$3</f>
        <v>Canton</v>
      </c>
      <c r="D208" s="634" t="s">
        <v>694</v>
      </c>
      <c r="E208" s="633" t="s">
        <v>190</v>
      </c>
      <c r="F208" s="633">
        <v>5</v>
      </c>
      <c r="G208" s="633">
        <f>+'Research Expenditures'!B15</f>
        <v>155</v>
      </c>
      <c r="H208" s="633" t="str">
        <f>+'Research Expenditures'!C15</f>
        <v>12.155.25</v>
      </c>
      <c r="I208" s="633" t="str">
        <f>+'Research Expenditures'!E15</f>
        <v>Total R&amp;D ($mil.)</v>
      </c>
      <c r="J208" s="633" t="str">
        <f>+'Research Expenditures'!K15</f>
        <v>n/a</v>
      </c>
      <c r="L208" s="635"/>
      <c r="M208" s="635">
        <f>+'Research Expenditures'!N15</f>
        <v>0.25</v>
      </c>
      <c r="N208" s="635">
        <f>+'Research Expenditures'!O15</f>
        <v>0.3</v>
      </c>
    </row>
    <row r="209" spans="1:14">
      <c r="A209">
        <v>206</v>
      </c>
      <c r="B209">
        <v>256</v>
      </c>
      <c r="C209" s="633" t="str">
        <f>+'Campus Selector'!$G$3</f>
        <v>Canton</v>
      </c>
      <c r="D209" s="634" t="s">
        <v>694</v>
      </c>
      <c r="E209" s="633" t="s">
        <v>190</v>
      </c>
      <c r="F209" s="633">
        <v>6</v>
      </c>
      <c r="G209" s="633">
        <f>+'Research Expenditures'!B16</f>
        <v>156</v>
      </c>
      <c r="H209" s="633" t="str">
        <f>+'Research Expenditures'!C16</f>
        <v>12.156.25</v>
      </c>
      <c r="I209" s="633" t="str">
        <f>+'Research Expenditures'!E16</f>
        <v xml:space="preserve">Federal R&amp;D </v>
      </c>
      <c r="J209" s="633" t="str">
        <f>+'Research Expenditures'!K16</f>
        <v>-</v>
      </c>
      <c r="L209" s="635"/>
      <c r="M209" s="635">
        <f>+'Research Expenditures'!N16</f>
        <v>0</v>
      </c>
      <c r="N209" s="635">
        <f>+'Research Expenditures'!O16</f>
        <v>0</v>
      </c>
    </row>
    <row r="210" spans="1:14">
      <c r="A210">
        <v>207</v>
      </c>
      <c r="B210">
        <v>257</v>
      </c>
      <c r="C210" s="633" t="str">
        <f>+'Campus Selector'!$G$3</f>
        <v>Canton</v>
      </c>
      <c r="D210" s="634" t="s">
        <v>694</v>
      </c>
      <c r="E210" s="633" t="s">
        <v>190</v>
      </c>
      <c r="F210" s="633">
        <v>7</v>
      </c>
      <c r="G210" s="633">
        <f>+'Research Expenditures'!B17</f>
        <v>157</v>
      </c>
      <c r="H210" s="633" t="str">
        <f>+'Research Expenditures'!C17</f>
        <v>12.157.25</v>
      </c>
      <c r="I210" s="633" t="str">
        <f>+'Research Expenditures'!E17</f>
        <v>Industry R&amp;D</v>
      </c>
      <c r="J210" s="633" t="str">
        <f>+'Research Expenditures'!K17</f>
        <v>-</v>
      </c>
      <c r="L210" s="635"/>
      <c r="M210" s="635">
        <f>+'Research Expenditures'!N17</f>
        <v>0</v>
      </c>
      <c r="N210" s="635">
        <f>+'Research Expenditures'!O17</f>
        <v>0</v>
      </c>
    </row>
    <row r="211" spans="1:14">
      <c r="A211">
        <v>208</v>
      </c>
      <c r="B211">
        <v>258</v>
      </c>
      <c r="C211" s="633" t="str">
        <f>+'Campus Selector'!$G$3</f>
        <v>Canton</v>
      </c>
      <c r="D211" s="634" t="s">
        <v>694</v>
      </c>
      <c r="E211" s="633" t="s">
        <v>190</v>
      </c>
      <c r="F211" s="633">
        <v>8</v>
      </c>
      <c r="G211" s="633">
        <f>+'Research Expenditures'!B18</f>
        <v>158</v>
      </c>
      <c r="H211" s="633" t="str">
        <f>+'Research Expenditures'!C18</f>
        <v>12.158.25</v>
      </c>
      <c r="I211" s="633" t="str">
        <f>+'Research Expenditures'!E18</f>
        <v>State/Local Govt. R&amp;D</v>
      </c>
      <c r="J211" s="633" t="str">
        <f>+'Research Expenditures'!K18</f>
        <v>-</v>
      </c>
      <c r="L211" s="635"/>
      <c r="M211" s="635">
        <f>+'Research Expenditures'!N18</f>
        <v>0</v>
      </c>
      <c r="N211" s="635">
        <f>+'Research Expenditures'!O18</f>
        <v>0</v>
      </c>
    </row>
    <row r="212" spans="1:14">
      <c r="A212">
        <v>209</v>
      </c>
      <c r="B212">
        <v>259</v>
      </c>
      <c r="C212" s="633" t="str">
        <f>+'Campus Selector'!$G$3</f>
        <v>Canton</v>
      </c>
      <c r="D212" s="634" t="s">
        <v>694</v>
      </c>
      <c r="E212" s="633" t="s">
        <v>190</v>
      </c>
      <c r="F212" s="633">
        <v>9</v>
      </c>
      <c r="G212" s="633">
        <f>+'Research Expenditures'!B19</f>
        <v>305</v>
      </c>
      <c r="H212" s="633" t="str">
        <f>+'Research Expenditures'!C19</f>
        <v>12.305.25</v>
      </c>
      <c r="I212" s="633" t="str">
        <f>+'Research Expenditures'!E19</f>
        <v>Institution R&amp;D</v>
      </c>
      <c r="J212" s="633" t="str">
        <f>+'Research Expenditures'!K19</f>
        <v>-</v>
      </c>
      <c r="L212" s="635"/>
      <c r="M212" s="635">
        <f>+'Research Expenditures'!N19</f>
        <v>0</v>
      </c>
      <c r="N212" s="635">
        <f>+'Research Expenditures'!O19</f>
        <v>0</v>
      </c>
    </row>
    <row r="213" spans="1:14">
      <c r="A213">
        <v>210</v>
      </c>
      <c r="B213">
        <v>260</v>
      </c>
      <c r="C213" s="633" t="str">
        <f>+'Campus Selector'!$G$3</f>
        <v>Canton</v>
      </c>
      <c r="D213" s="634" t="s">
        <v>694</v>
      </c>
      <c r="E213" s="633" t="s">
        <v>190</v>
      </c>
      <c r="F213" s="633">
        <v>10</v>
      </c>
      <c r="G213" s="633">
        <f>+'Research Expenditures'!B20</f>
        <v>306</v>
      </c>
      <c r="H213" s="633" t="str">
        <f>+'Research Expenditures'!C20</f>
        <v>12.306.25</v>
      </c>
      <c r="I213" s="633" t="str">
        <f>+'Research Expenditures'!E20</f>
        <v>Nonprofit R&amp;D</v>
      </c>
      <c r="J213" s="633" t="str">
        <f>+'Research Expenditures'!K20</f>
        <v>-</v>
      </c>
      <c r="L213" s="635"/>
      <c r="M213" s="635">
        <f>+'Research Expenditures'!N20</f>
        <v>0</v>
      </c>
      <c r="N213" s="635">
        <f>+'Research Expenditures'!O20</f>
        <v>0</v>
      </c>
    </row>
    <row r="214" spans="1:14">
      <c r="A214">
        <v>211</v>
      </c>
      <c r="B214">
        <v>261</v>
      </c>
      <c r="C214" s="633" t="str">
        <f>+'Campus Selector'!$G$3</f>
        <v>Canton</v>
      </c>
      <c r="D214" s="634" t="s">
        <v>694</v>
      </c>
      <c r="E214" s="633" t="s">
        <v>190</v>
      </c>
      <c r="F214" s="633">
        <v>11</v>
      </c>
      <c r="G214" s="633">
        <f>+'Research Expenditures'!B21</f>
        <v>307</v>
      </c>
      <c r="H214" s="633" t="str">
        <f>+'Research Expenditures'!C21</f>
        <v>12.307.25</v>
      </c>
      <c r="I214" s="633" t="str">
        <f>+'Research Expenditures'!E21</f>
        <v>All Other R&amp;D</v>
      </c>
      <c r="J214" s="633" t="str">
        <f>+'Research Expenditures'!K21</f>
        <v>-</v>
      </c>
      <c r="L214" s="635"/>
      <c r="M214" s="635">
        <f>+'Research Expenditures'!N21</f>
        <v>0</v>
      </c>
      <c r="N214" s="635">
        <f>+'Research Expenditures'!O21</f>
        <v>0</v>
      </c>
    </row>
    <row r="215" spans="1:14">
      <c r="A215">
        <v>212</v>
      </c>
      <c r="B215">
        <v>262</v>
      </c>
      <c r="C215" s="633" t="str">
        <f>+'Campus Selector'!$G$3</f>
        <v>Canton</v>
      </c>
      <c r="D215" s="634" t="s">
        <v>694</v>
      </c>
      <c r="E215" s="633" t="s">
        <v>190</v>
      </c>
      <c r="F215" s="633">
        <v>12</v>
      </c>
      <c r="G215" s="633">
        <f>+'Research Expenditures'!B24</f>
        <v>153</v>
      </c>
      <c r="H215" s="633" t="str">
        <f>+'Research Expenditures'!C24</f>
        <v>12.153.25</v>
      </c>
      <c r="I215" s="633" t="str">
        <f>+'Research Expenditures'!E24</f>
        <v>Invention Disclosures</v>
      </c>
      <c r="J215" s="657">
        <f>+'Research Expenditures'!K24</f>
        <v>0</v>
      </c>
      <c r="K215" s="657"/>
      <c r="L215" s="635"/>
      <c r="M215" s="635">
        <f>+'Research Expenditures'!N24</f>
        <v>0</v>
      </c>
      <c r="N215" s="635">
        <f>+'Research Expenditures'!O24</f>
        <v>0</v>
      </c>
    </row>
    <row r="216" spans="1:14">
      <c r="A216">
        <v>213</v>
      </c>
      <c r="B216">
        <v>263</v>
      </c>
      <c r="C216" s="633" t="str">
        <f>+'Campus Selector'!$G$3</f>
        <v>Canton</v>
      </c>
      <c r="D216" s="634" t="s">
        <v>694</v>
      </c>
      <c r="E216" s="633" t="s">
        <v>190</v>
      </c>
      <c r="F216" s="633">
        <v>13</v>
      </c>
      <c r="G216" s="633">
        <f>+'Research Expenditures'!B25</f>
        <v>159</v>
      </c>
      <c r="H216" s="633" t="str">
        <f>+'Research Expenditures'!C25</f>
        <v>12.159.25</v>
      </c>
      <c r="I216" s="633" t="str">
        <f>+'Research Expenditures'!E25</f>
        <v>U.S. Patent Applications Filed</v>
      </c>
      <c r="J216" s="657">
        <f>+'Research Expenditures'!K25</f>
        <v>0</v>
      </c>
      <c r="K216" s="657"/>
      <c r="L216" s="635"/>
      <c r="M216" s="635">
        <f>+'Research Expenditures'!N25</f>
        <v>1</v>
      </c>
      <c r="N216" s="635">
        <f>+'Research Expenditures'!O25</f>
        <v>2</v>
      </c>
    </row>
    <row r="217" spans="1:14">
      <c r="A217">
        <v>214</v>
      </c>
      <c r="B217">
        <v>264</v>
      </c>
      <c r="C217" s="633" t="str">
        <f>+'Campus Selector'!$G$3</f>
        <v>Canton</v>
      </c>
      <c r="D217" s="634" t="s">
        <v>694</v>
      </c>
      <c r="E217" s="633" t="s">
        <v>190</v>
      </c>
      <c r="F217" s="633">
        <v>14</v>
      </c>
      <c r="G217" s="633">
        <f>+'Research Expenditures'!B26</f>
        <v>160</v>
      </c>
      <c r="H217" s="633" t="str">
        <f>+'Research Expenditures'!C26</f>
        <v>12.160.25</v>
      </c>
      <c r="I217" s="633" t="str">
        <f>+'Research Expenditures'!E26</f>
        <v>U.S. Patents Issued</v>
      </c>
      <c r="J217" s="657">
        <f>+'Research Expenditures'!K26</f>
        <v>0</v>
      </c>
      <c r="K217" s="657"/>
      <c r="L217" s="635"/>
      <c r="M217" s="635">
        <f>+'Research Expenditures'!N26</f>
        <v>1</v>
      </c>
      <c r="N217" s="635">
        <f>+'Research Expenditures'!O26</f>
        <v>2</v>
      </c>
    </row>
    <row r="218" spans="1:14">
      <c r="A218">
        <v>215</v>
      </c>
      <c r="B218">
        <v>265</v>
      </c>
      <c r="C218" s="633" t="str">
        <f>+'Campus Selector'!$G$3</f>
        <v>Canton</v>
      </c>
      <c r="D218" s="634" t="s">
        <v>694</v>
      </c>
      <c r="E218" s="633" t="s">
        <v>190</v>
      </c>
      <c r="F218" s="633">
        <v>15</v>
      </c>
      <c r="G218" s="633">
        <f>+'Research Expenditures'!B27</f>
        <v>208</v>
      </c>
      <c r="H218" s="633" t="str">
        <f>+'Research Expenditures'!C27</f>
        <v>12.208.25</v>
      </c>
      <c r="I218" s="633" t="str">
        <f>+'Research Expenditures'!E27</f>
        <v>License and Option Agreements Executed</v>
      </c>
      <c r="J218" s="657">
        <f>+'Research Expenditures'!K27</f>
        <v>0</v>
      </c>
      <c r="K218" s="657"/>
      <c r="L218" s="635"/>
      <c r="M218" s="635">
        <f>+'Research Expenditures'!N27</f>
        <v>0</v>
      </c>
      <c r="N218" s="635">
        <f>+'Research Expenditures'!O27</f>
        <v>0</v>
      </c>
    </row>
    <row r="219" spans="1:14">
      <c r="A219">
        <v>216</v>
      </c>
      <c r="D219" s="634"/>
      <c r="J219" s="657"/>
      <c r="K219" s="657"/>
      <c r="L219" s="635"/>
      <c r="M219" s="635"/>
      <c r="N219" s="635"/>
    </row>
    <row r="220" spans="1:14">
      <c r="A220">
        <v>217</v>
      </c>
      <c r="B220">
        <v>267</v>
      </c>
      <c r="C220" s="633" t="str">
        <f>+'Campus Selector'!$G$3</f>
        <v>Canton</v>
      </c>
      <c r="D220" s="634" t="s">
        <v>695</v>
      </c>
      <c r="E220" s="633" t="s">
        <v>574</v>
      </c>
      <c r="F220" s="633">
        <v>1</v>
      </c>
      <c r="G220" s="633">
        <f>+'Alumni Philanthropy'!B9</f>
        <v>232</v>
      </c>
      <c r="H220" s="633" t="str">
        <f>+'Alumni Philanthropy'!C9</f>
        <v>19.232.25</v>
      </c>
      <c r="I220" s="633" t="str">
        <f>+'Alumni Philanthropy'!E9</f>
        <v>Alumni on Record</v>
      </c>
      <c r="J220" s="656">
        <f>+'Alumni Philanthropy'!K9</f>
        <v>38616</v>
      </c>
      <c r="K220" s="656"/>
      <c r="L220" s="635"/>
      <c r="M220" s="635" t="str">
        <f>+'Alumni Philanthropy'!M9</f>
        <v>-</v>
      </c>
      <c r="N220" s="635" t="str">
        <f>+'Alumni Philanthropy'!N9</f>
        <v>-</v>
      </c>
    </row>
    <row r="221" spans="1:14">
      <c r="A221">
        <v>218</v>
      </c>
      <c r="B221">
        <v>268</v>
      </c>
      <c r="C221" s="633" t="str">
        <f>+'Campus Selector'!$G$3</f>
        <v>Canton</v>
      </c>
      <c r="D221" s="634" t="s">
        <v>695</v>
      </c>
      <c r="E221" s="633" t="s">
        <v>574</v>
      </c>
      <c r="F221" s="633">
        <v>2</v>
      </c>
      <c r="G221" s="633">
        <f>+'Alumni Philanthropy'!B10</f>
        <v>229</v>
      </c>
      <c r="H221" s="633" t="str">
        <f>+'Alumni Philanthropy'!C10</f>
        <v>19.229.25</v>
      </c>
      <c r="I221" s="633" t="str">
        <f>+'Alumni Philanthropy'!E10</f>
        <v>Number of Alumni Donors</v>
      </c>
      <c r="J221" s="656">
        <f>+'Alumni Philanthropy'!K10</f>
        <v>1040</v>
      </c>
      <c r="K221" s="656"/>
      <c r="L221" s="635"/>
      <c r="M221" s="635" t="str">
        <f>+'Alumni Philanthropy'!M10</f>
        <v>-</v>
      </c>
      <c r="N221" s="635" t="str">
        <f>+'Alumni Philanthropy'!N10</f>
        <v>-</v>
      </c>
    </row>
    <row r="222" spans="1:14">
      <c r="A222">
        <v>219</v>
      </c>
      <c r="B222">
        <v>269</v>
      </c>
      <c r="C222" s="633" t="str">
        <f>+'Campus Selector'!$G$3</f>
        <v>Canton</v>
      </c>
      <c r="D222" s="634" t="s">
        <v>695</v>
      </c>
      <c r="E222" s="633" t="s">
        <v>574</v>
      </c>
      <c r="F222" s="633">
        <v>3</v>
      </c>
      <c r="G222" s="633">
        <f>+'Alumni Philanthropy'!B12</f>
        <v>231</v>
      </c>
      <c r="H222" s="633" t="str">
        <f>+'Alumni Philanthropy'!C12</f>
        <v>19.231.25</v>
      </c>
      <c r="I222" s="633" t="str">
        <f>+'Alumni Philanthropy'!E12</f>
        <v>Campus Alumni Giving Rate</v>
      </c>
      <c r="J222" s="633">
        <f>+'Alumni Philanthropy'!K12</f>
        <v>2.693184172363787E-2</v>
      </c>
      <c r="L222" s="635"/>
      <c r="M222" s="635">
        <f>+'Alumni Philanthropy'!M12</f>
        <v>3.3000000000000002E-2</v>
      </c>
      <c r="N222" s="635">
        <f>+'Alumni Philanthropy'!N12</f>
        <v>0.04</v>
      </c>
    </row>
    <row r="223" spans="1:14">
      <c r="A223">
        <v>220</v>
      </c>
      <c r="B223">
        <v>270</v>
      </c>
      <c r="C223" s="633" t="str">
        <f>+'Campus Selector'!$G$3</f>
        <v>Canton</v>
      </c>
      <c r="D223" s="634" t="s">
        <v>695</v>
      </c>
      <c r="E223" s="633" t="s">
        <v>574</v>
      </c>
      <c r="F223" s="633">
        <v>4</v>
      </c>
      <c r="G223" s="633">
        <f>+'Alumni Philanthropy'!B16</f>
        <v>233</v>
      </c>
      <c r="H223" s="633" t="str">
        <f>+'Alumni Philanthropy'!C16</f>
        <v>19.233.25</v>
      </c>
      <c r="I223" s="633" t="str">
        <f>+'Alumni Philanthropy'!E16</f>
        <v>Funds Raised ($mil.)</v>
      </c>
      <c r="J223" s="633">
        <f>+'Alumni Philanthropy'!K16</f>
        <v>1.0515129999999999</v>
      </c>
      <c r="L223" s="635"/>
      <c r="M223" s="635">
        <f>+'Alumni Philanthropy'!M16</f>
        <v>1.3</v>
      </c>
      <c r="N223" s="635">
        <f>+'Alumni Philanthropy'!N16</f>
        <v>1.5</v>
      </c>
    </row>
    <row r="224" spans="1:14">
      <c r="A224">
        <v>221</v>
      </c>
      <c r="B224">
        <v>271</v>
      </c>
      <c r="C224" s="633" t="str">
        <f>+'Campus Selector'!$G$3</f>
        <v>Canton</v>
      </c>
      <c r="D224" s="634" t="s">
        <v>695</v>
      </c>
      <c r="E224" s="633" t="s">
        <v>574</v>
      </c>
      <c r="F224" s="633">
        <v>5</v>
      </c>
      <c r="G224" s="633" t="e">
        <f>+'Alumni Philanthropy'!#REF!</f>
        <v>#REF!</v>
      </c>
      <c r="H224" s="633" t="e">
        <f>+'Alumni Philanthropy'!#REF!</f>
        <v>#REF!</v>
      </c>
      <c r="I224" s="633" t="e">
        <f>+'Alumni Philanthropy'!#REF!</f>
        <v>#REF!</v>
      </c>
      <c r="J224" s="660" t="e">
        <f>+'Alumni Philanthropy'!#REF!</f>
        <v>#REF!</v>
      </c>
      <c r="K224" s="660"/>
      <c r="L224" s="635"/>
      <c r="M224" s="635" t="e">
        <f>+'Alumni Philanthropy'!#REF!</f>
        <v>#REF!</v>
      </c>
      <c r="N224" s="635" t="e">
        <f>+'Alumni Philanthropy'!#REF!</f>
        <v>#REF!</v>
      </c>
    </row>
    <row r="225" spans="1:14">
      <c r="A225">
        <v>222</v>
      </c>
      <c r="D225" s="634"/>
      <c r="J225" s="660"/>
      <c r="K225" s="660"/>
      <c r="L225" s="635"/>
      <c r="M225" s="635"/>
      <c r="N225" s="635"/>
    </row>
    <row r="226" spans="1:14">
      <c r="A226">
        <v>223</v>
      </c>
      <c r="B226">
        <v>276</v>
      </c>
      <c r="C226" s="633" t="str">
        <f>+'Campus Selector'!$G$3</f>
        <v>Canton</v>
      </c>
      <c r="D226" s="634" t="s">
        <v>696</v>
      </c>
      <c r="E226" s="633" t="s">
        <v>650</v>
      </c>
      <c r="F226" s="633">
        <v>1</v>
      </c>
      <c r="G226" s="633" t="e">
        <f>+#REF!</f>
        <v>#REF!</v>
      </c>
      <c r="H226" s="633" t="e">
        <f>+#REF!</f>
        <v>#REF!</v>
      </c>
      <c r="I226" s="633" t="e">
        <f>+#REF!</f>
        <v>#REF!</v>
      </c>
      <c r="J226" s="656" t="e">
        <f>+#REF!</f>
        <v>#REF!</v>
      </c>
      <c r="K226" s="656"/>
      <c r="L226" s="635"/>
      <c r="M226" s="635" t="e">
        <f>+#REF!</f>
        <v>#REF!</v>
      </c>
      <c r="N226" s="635" t="e">
        <f>+#REF!</f>
        <v>#REF!</v>
      </c>
    </row>
    <row r="227" spans="1:14">
      <c r="A227">
        <v>224</v>
      </c>
      <c r="B227">
        <v>278</v>
      </c>
      <c r="C227" s="633" t="str">
        <f>+'Campus Selector'!$G$3</f>
        <v>Canton</v>
      </c>
      <c r="D227" s="634" t="s">
        <v>696</v>
      </c>
      <c r="E227" s="633" t="s">
        <v>650</v>
      </c>
      <c r="F227" s="633">
        <v>2</v>
      </c>
      <c r="G227" s="633" t="e">
        <f>+#REF!</f>
        <v>#REF!</v>
      </c>
      <c r="H227" s="633" t="e">
        <f>+#REF!</f>
        <v>#REF!</v>
      </c>
      <c r="I227" s="633" t="e">
        <f>+#REF!</f>
        <v>#REF!</v>
      </c>
      <c r="J227" s="656" t="e">
        <f>+#REF!</f>
        <v>#REF!</v>
      </c>
      <c r="K227" s="656"/>
      <c r="L227" s="635"/>
      <c r="M227" s="635" t="e">
        <f>+#REF!</f>
        <v>#REF!</v>
      </c>
      <c r="N227" s="635" t="e">
        <f>+#REF!</f>
        <v>#REF!</v>
      </c>
    </row>
  </sheetData>
  <sortState ref="A4:AE228">
    <sortCondition ref="A4:A228"/>
    <sortCondition ref="F4:F228"/>
  </sortState>
  <printOptions horizontalCentered="1"/>
  <pageMargins left="0.2" right="0.2" top="0.5" bottom="0.5" header="0.3" footer="0.3"/>
  <pageSetup orientation="landscape" horizontalDpi="1200" verticalDpi="1200" r:id="rId1"/>
  <headerFooter alignWithMargins="0">
    <oddFooter>&amp;LState University of New York System Administration&amp;R&amp;G</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S288"/>
  <sheetViews>
    <sheetView showGridLines="0" zoomScale="75" zoomScaleNormal="75" workbookViewId="0"/>
  </sheetViews>
  <sheetFormatPr defaultRowHeight="12.75"/>
  <cols>
    <col min="2" max="4" width="21.7109375" style="633" customWidth="1"/>
    <col min="5" max="5" width="9.28515625" style="633" customWidth="1"/>
    <col min="6" max="7" width="8.7109375" style="633" customWidth="1"/>
    <col min="8" max="8" width="7.28515625" style="633" customWidth="1"/>
    <col min="9" max="9" width="13.28515625" style="633" customWidth="1"/>
    <col min="10" max="10" width="33.7109375" style="633" customWidth="1"/>
    <col min="11" max="11" width="12.5703125" style="633" customWidth="1"/>
    <col min="12" max="15" width="9.7109375" style="633" customWidth="1"/>
    <col min="16" max="19" width="17.28515625" style="633" customWidth="1"/>
  </cols>
  <sheetData>
    <row r="1" spans="1:18">
      <c r="P1" s="633" t="e">
        <f>+'Time Credits to Degree'!#REF!</f>
        <v>#REF!</v>
      </c>
      <c r="Q1" s="633" t="str">
        <f>+'Time Credits to Degree'!M7</f>
        <v>Plan
2018-19</v>
      </c>
      <c r="R1" s="633" t="str">
        <f>+'Time Credits to Degree'!N7</f>
        <v>Plan
2020-21</v>
      </c>
    </row>
    <row r="2" spans="1:18">
      <c r="A2" s="2" t="s">
        <v>647</v>
      </c>
      <c r="B2" s="634" t="s">
        <v>601</v>
      </c>
      <c r="C2" s="634" t="s">
        <v>675</v>
      </c>
      <c r="D2" s="634" t="s">
        <v>648</v>
      </c>
      <c r="E2" s="634" t="s">
        <v>697</v>
      </c>
      <c r="F2" s="634"/>
      <c r="G2" s="634"/>
      <c r="H2" s="634" t="s">
        <v>676</v>
      </c>
      <c r="I2" s="634" t="s">
        <v>677</v>
      </c>
      <c r="J2" s="634" t="s">
        <v>674</v>
      </c>
      <c r="K2" s="634"/>
      <c r="L2" s="634">
        <v>2014</v>
      </c>
      <c r="M2" s="634">
        <v>2015</v>
      </c>
      <c r="N2" s="634">
        <v>2018</v>
      </c>
      <c r="O2" s="634">
        <v>2020</v>
      </c>
      <c r="P2" s="633" t="s">
        <v>46</v>
      </c>
      <c r="Q2" s="633" t="s">
        <v>231</v>
      </c>
      <c r="R2" s="633" t="s">
        <v>54</v>
      </c>
    </row>
    <row r="3" spans="1:18">
      <c r="A3" s="2"/>
      <c r="B3" s="634"/>
      <c r="C3" s="634"/>
      <c r="D3" s="634"/>
      <c r="E3" s="634"/>
      <c r="F3" s="634"/>
      <c r="G3" s="634"/>
      <c r="H3" s="634"/>
      <c r="I3" s="634"/>
      <c r="J3" s="634"/>
      <c r="K3" s="634"/>
      <c r="L3" s="634"/>
      <c r="M3" s="634"/>
      <c r="N3" s="634"/>
      <c r="O3" s="634"/>
    </row>
    <row r="4" spans="1:18">
      <c r="A4">
        <v>6</v>
      </c>
      <c r="B4" s="633" t="str">
        <f>+'Campus Selector'!$G$3</f>
        <v>Canton</v>
      </c>
      <c r="C4" s="634" t="s">
        <v>678</v>
      </c>
      <c r="D4" s="634" t="s">
        <v>251</v>
      </c>
      <c r="E4" s="634">
        <v>1</v>
      </c>
      <c r="F4" s="634">
        <v>78</v>
      </c>
      <c r="G4" s="634"/>
      <c r="H4" s="633">
        <f>+'Enrollment 5YR'!B16</f>
        <v>78</v>
      </c>
      <c r="I4" s="633" t="str">
        <f>+'Enrollment 5YR'!C16</f>
        <v>04.078.25</v>
      </c>
      <c r="J4" s="633" t="str">
        <f>+'Enrollment 5YR'!E16</f>
        <v>Full-time First-time</v>
      </c>
      <c r="K4" s="661">
        <f>+'Enrollment 5YR'!K16</f>
        <v>726</v>
      </c>
      <c r="L4" s="635">
        <f>+'Enrollment 5YR'!K16</f>
        <v>726</v>
      </c>
      <c r="M4" s="635"/>
      <c r="N4" s="635"/>
      <c r="O4" s="635"/>
      <c r="P4" s="635"/>
      <c r="Q4" s="635">
        <f>+'Enrollment 5YR'!M16</f>
        <v>743</v>
      </c>
      <c r="R4" s="635">
        <f>+'Enrollment 5YR'!N16</f>
        <v>800</v>
      </c>
    </row>
    <row r="5" spans="1:18">
      <c r="A5">
        <v>7</v>
      </c>
      <c r="B5" s="633" t="str">
        <f>+'Campus Selector'!$G$3</f>
        <v>Canton</v>
      </c>
      <c r="C5" s="634" t="s">
        <v>678</v>
      </c>
      <c r="D5" s="634" t="s">
        <v>251</v>
      </c>
      <c r="E5" s="634">
        <v>2</v>
      </c>
      <c r="F5" s="634">
        <v>79</v>
      </c>
      <c r="G5" s="634"/>
      <c r="H5" s="633">
        <f>+'Enrollment 5YR'!B17</f>
        <v>79</v>
      </c>
      <c r="I5" s="633" t="str">
        <f>+'Enrollment 5YR'!C17</f>
        <v>04.079.25</v>
      </c>
      <c r="J5" s="633" t="str">
        <f>+'Enrollment 5YR'!E17</f>
        <v>Full-time Transfers</v>
      </c>
      <c r="K5" s="661">
        <f>+'Enrollment 5YR'!K17</f>
        <v>248</v>
      </c>
      <c r="L5" s="635">
        <f>+'Enrollment 5YR'!K17</f>
        <v>248</v>
      </c>
      <c r="M5" s="635"/>
      <c r="N5" s="635"/>
      <c r="O5" s="635"/>
      <c r="P5" s="635"/>
      <c r="Q5" s="635">
        <f>+'Enrollment 5YR'!M17</f>
        <v>283</v>
      </c>
      <c r="R5" s="635">
        <f>+'Enrollment 5YR'!N17</f>
        <v>306</v>
      </c>
    </row>
    <row r="6" spans="1:18">
      <c r="A6">
        <v>8</v>
      </c>
      <c r="B6" s="633" t="str">
        <f>+'Campus Selector'!$G$3</f>
        <v>Canton</v>
      </c>
      <c r="C6" s="634" t="s">
        <v>678</v>
      </c>
      <c r="D6" s="634" t="s">
        <v>251</v>
      </c>
      <c r="E6" s="634">
        <v>3</v>
      </c>
      <c r="F6" s="634">
        <v>80</v>
      </c>
      <c r="G6" s="634"/>
      <c r="H6" s="633">
        <f>+'Enrollment 5YR'!B19</f>
        <v>80</v>
      </c>
      <c r="I6" s="633" t="str">
        <f>+'Enrollment 5YR'!C19</f>
        <v>04.080.25</v>
      </c>
      <c r="J6" s="633" t="str">
        <f>+'Enrollment 5YR'!E19</f>
        <v>Full-time Continuing &amp; Returning</v>
      </c>
      <c r="K6" s="661">
        <f>+'Enrollment 5YR'!K19</f>
        <v>1707</v>
      </c>
      <c r="L6" s="635">
        <f>+'Enrollment 5YR'!K19</f>
        <v>1707</v>
      </c>
      <c r="M6" s="635"/>
      <c r="N6" s="635"/>
      <c r="O6" s="635"/>
      <c r="P6" s="635"/>
      <c r="Q6" s="635">
        <f>+'Enrollment 5YR'!M19</f>
        <v>0</v>
      </c>
      <c r="R6" s="635">
        <f>+'Enrollment 5YR'!N19</f>
        <v>0</v>
      </c>
    </row>
    <row r="7" spans="1:18">
      <c r="A7">
        <v>4</v>
      </c>
      <c r="B7" s="633" t="str">
        <f>+'Campus Selector'!$G$3</f>
        <v>Canton</v>
      </c>
      <c r="C7" s="634" t="s">
        <v>678</v>
      </c>
      <c r="D7" s="634" t="s">
        <v>251</v>
      </c>
      <c r="E7" s="634">
        <v>4</v>
      </c>
      <c r="F7" s="634">
        <v>76</v>
      </c>
      <c r="G7" s="634"/>
      <c r="H7" s="633">
        <f>+'Enrollment 5YR'!B20</f>
        <v>76</v>
      </c>
      <c r="I7" s="633" t="str">
        <f>+'Enrollment 5YR'!C20</f>
        <v>04.076.25</v>
      </c>
      <c r="J7" s="633" t="str">
        <f>+'Enrollment 5YR'!E20</f>
        <v>Undergraduate Transition</v>
      </c>
      <c r="K7" s="661">
        <f>+'Enrollment 5YR'!K20</f>
        <v>112</v>
      </c>
      <c r="L7" s="635">
        <f>+'Enrollment 5YR'!K20</f>
        <v>112</v>
      </c>
      <c r="M7" s="635"/>
      <c r="N7" s="635"/>
      <c r="O7" s="635"/>
      <c r="P7" s="635"/>
      <c r="Q7" s="635">
        <f>+'Enrollment 5YR'!M20</f>
        <v>0</v>
      </c>
      <c r="R7" s="635">
        <f>+'Enrollment 5YR'!N20</f>
        <v>0</v>
      </c>
    </row>
    <row r="8" spans="1:18">
      <c r="A8">
        <v>14</v>
      </c>
      <c r="B8" s="633" t="str">
        <f>+'Campus Selector'!$G$3</f>
        <v>Canton</v>
      </c>
      <c r="C8" s="634" t="s">
        <v>678</v>
      </c>
      <c r="D8" s="634" t="s">
        <v>251</v>
      </c>
      <c r="E8" s="634">
        <v>5</v>
      </c>
      <c r="F8" s="634">
        <v>88</v>
      </c>
      <c r="G8" s="634"/>
      <c r="H8" s="633">
        <f>+'Enrollment 5YR'!B22</f>
        <v>88</v>
      </c>
      <c r="I8" s="633" t="str">
        <f>+'Enrollment 5YR'!C22</f>
        <v>04.088.25</v>
      </c>
      <c r="J8" s="633" t="str">
        <f>+'Enrollment 5YR'!E22</f>
        <v>Full-time Concurrently Enrolled in HS</v>
      </c>
      <c r="K8" s="661">
        <f>+'Enrollment 5YR'!K22</f>
        <v>0</v>
      </c>
      <c r="L8" s="635">
        <f>+'Enrollment 5YR'!K22</f>
        <v>0</v>
      </c>
      <c r="M8" s="635"/>
      <c r="N8" s="635"/>
      <c r="O8" s="635"/>
      <c r="P8" s="635"/>
      <c r="Q8" s="635">
        <f>+'Enrollment 5YR'!M22</f>
        <v>0</v>
      </c>
      <c r="R8" s="635">
        <f>+'Enrollment 5YR'!N22</f>
        <v>0</v>
      </c>
    </row>
    <row r="9" spans="1:18">
      <c r="A9">
        <v>5</v>
      </c>
      <c r="B9" s="633" t="str">
        <f>+'Campus Selector'!$G$3</f>
        <v>Canton</v>
      </c>
      <c r="C9" s="634" t="s">
        <v>678</v>
      </c>
      <c r="D9" s="634" t="s">
        <v>251</v>
      </c>
      <c r="E9" s="634">
        <v>6</v>
      </c>
      <c r="F9" s="634">
        <v>77</v>
      </c>
      <c r="G9" s="634"/>
      <c r="H9" s="633">
        <f>+'Enrollment 5YR'!B23</f>
        <v>77</v>
      </c>
      <c r="I9" s="633" t="str">
        <f>+'Enrollment 5YR'!C23</f>
        <v>04.077.25</v>
      </c>
      <c r="J9" s="633" t="str">
        <f>+'Enrollment 5YR'!E23</f>
        <v>Joint Program</v>
      </c>
      <c r="K9" s="661">
        <f>+'Enrollment 5YR'!K23</f>
        <v>0</v>
      </c>
      <c r="L9" s="635">
        <f>+'Enrollment 5YR'!K23</f>
        <v>0</v>
      </c>
      <c r="M9" s="635"/>
      <c r="N9" s="635"/>
      <c r="O9" s="635"/>
      <c r="P9" s="635"/>
      <c r="Q9" s="635">
        <f>+'Enrollment 5YR'!M23</f>
        <v>0</v>
      </c>
      <c r="R9" s="635">
        <f>+'Enrollment 5YR'!N23</f>
        <v>0</v>
      </c>
    </row>
    <row r="10" spans="1:18">
      <c r="A10">
        <v>3</v>
      </c>
      <c r="B10" s="633" t="str">
        <f>+'Campus Selector'!$G$3</f>
        <v>Canton</v>
      </c>
      <c r="C10" s="634" t="s">
        <v>678</v>
      </c>
      <c r="D10" s="634" t="s">
        <v>251</v>
      </c>
      <c r="E10" s="634">
        <v>7</v>
      </c>
      <c r="F10" s="634">
        <v>75</v>
      </c>
      <c r="G10" s="634"/>
      <c r="H10" s="633">
        <f>+'Enrollment 5YR'!B24</f>
        <v>75</v>
      </c>
      <c r="I10" s="633" t="str">
        <f>+'Enrollment 5YR'!C24</f>
        <v>04.075.25</v>
      </c>
      <c r="J10" s="633" t="str">
        <f>+'Enrollment 5YR'!E24</f>
        <v>Unknown</v>
      </c>
      <c r="K10" s="661">
        <f>+'Enrollment 5YR'!K24</f>
        <v>0</v>
      </c>
      <c r="L10" s="635">
        <f>+'Enrollment 5YR'!K24</f>
        <v>0</v>
      </c>
      <c r="M10" s="635"/>
      <c r="N10" s="635"/>
      <c r="O10" s="635"/>
      <c r="P10" s="635"/>
      <c r="Q10" s="635">
        <f>+'Enrollment 5YR'!M24</f>
        <v>0</v>
      </c>
      <c r="R10" s="635">
        <f>+'Enrollment 5YR'!N24</f>
        <v>0</v>
      </c>
    </row>
    <row r="11" spans="1:18">
      <c r="A11">
        <v>9</v>
      </c>
      <c r="B11" s="633" t="str">
        <f>+'Campus Selector'!$G$3</f>
        <v>Canton</v>
      </c>
      <c r="C11" s="634" t="s">
        <v>678</v>
      </c>
      <c r="D11" s="634" t="s">
        <v>251</v>
      </c>
      <c r="E11" s="634">
        <v>8</v>
      </c>
      <c r="F11" s="634">
        <v>81</v>
      </c>
      <c r="G11" s="634"/>
      <c r="H11" s="633">
        <f>+'Enrollment 5YR'!B25</f>
        <v>81</v>
      </c>
      <c r="I11" s="633" t="str">
        <f>+'Enrollment 5YR'!C25</f>
        <v>04.081.25</v>
      </c>
      <c r="J11" s="633" t="str">
        <f>+'Enrollment 5YR'!E25</f>
        <v>Part-time Undergraduates</v>
      </c>
      <c r="K11" s="661">
        <f>+'Enrollment 5YR'!K25</f>
        <v>489</v>
      </c>
      <c r="L11" s="635">
        <f>+'Enrollment 5YR'!K25</f>
        <v>489</v>
      </c>
      <c r="M11" s="635"/>
      <c r="N11" s="635"/>
      <c r="O11" s="635"/>
      <c r="P11" s="635"/>
      <c r="Q11" s="635">
        <f>+'Enrollment 5YR'!M25</f>
        <v>720</v>
      </c>
      <c r="R11" s="635">
        <f>+'Enrollment 5YR'!N25</f>
        <v>798</v>
      </c>
    </row>
    <row r="12" spans="1:18">
      <c r="A12">
        <v>10</v>
      </c>
      <c r="B12" s="633" t="str">
        <f>+'Campus Selector'!$G$3</f>
        <v>Canton</v>
      </c>
      <c r="C12" s="634" t="s">
        <v>678</v>
      </c>
      <c r="D12" s="634" t="s">
        <v>251</v>
      </c>
      <c r="E12" s="634">
        <v>9</v>
      </c>
      <c r="F12" s="634">
        <v>82</v>
      </c>
      <c r="G12" s="634"/>
      <c r="H12" s="633">
        <f>+'Enrollment 5YR'!B30</f>
        <v>82</v>
      </c>
      <c r="I12" s="633" t="str">
        <f>+'Enrollment 5YR'!C30</f>
        <v>04.082.25</v>
      </c>
      <c r="J12" s="633" t="str">
        <f>+'Enrollment 5YR'!E30</f>
        <v>Full-time New Graduates</v>
      </c>
      <c r="K12" s="661">
        <f>+'Enrollment 5YR'!K30</f>
        <v>0</v>
      </c>
      <c r="L12" s="635">
        <f>+'Enrollment 5YR'!K30</f>
        <v>0</v>
      </c>
      <c r="M12" s="635"/>
      <c r="N12" s="635"/>
      <c r="O12" s="635"/>
      <c r="P12" s="635"/>
      <c r="Q12" s="635">
        <f>+'Enrollment 5YR'!M30</f>
        <v>0</v>
      </c>
      <c r="R12" s="635">
        <f>+'Enrollment 5YR'!N30</f>
        <v>0</v>
      </c>
    </row>
    <row r="13" spans="1:18">
      <c r="A13">
        <v>11</v>
      </c>
      <c r="B13" s="633" t="str">
        <f>+'Campus Selector'!$G$3</f>
        <v>Canton</v>
      </c>
      <c r="C13" s="634" t="s">
        <v>678</v>
      </c>
      <c r="D13" s="634" t="s">
        <v>251</v>
      </c>
      <c r="E13" s="634">
        <v>10</v>
      </c>
      <c r="F13" s="634">
        <v>83</v>
      </c>
      <c r="G13" s="634"/>
      <c r="H13" s="633">
        <f>+'Enrollment 5YR'!B31</f>
        <v>83</v>
      </c>
      <c r="I13" s="633" t="str">
        <f>+'Enrollment 5YR'!C31</f>
        <v>04.083.25</v>
      </c>
      <c r="J13" s="633" t="str">
        <f>+'Enrollment 5YR'!E31</f>
        <v>Full-time Continuing &amp; Returning</v>
      </c>
      <c r="K13" s="661">
        <f>+'Enrollment 5YR'!K31</f>
        <v>0</v>
      </c>
      <c r="L13" s="635">
        <f>+'Enrollment 5YR'!K31</f>
        <v>0</v>
      </c>
      <c r="M13" s="635"/>
      <c r="N13" s="635"/>
      <c r="O13" s="635"/>
      <c r="P13" s="635"/>
      <c r="Q13" s="635">
        <f>+'Enrollment 5YR'!M31</f>
        <v>0</v>
      </c>
      <c r="R13" s="635">
        <f>+'Enrollment 5YR'!N31</f>
        <v>0</v>
      </c>
    </row>
    <row r="14" spans="1:18">
      <c r="A14">
        <v>2</v>
      </c>
      <c r="B14" s="633" t="str">
        <f>+'Campus Selector'!$G$3</f>
        <v>Canton</v>
      </c>
      <c r="C14" s="634" t="s">
        <v>678</v>
      </c>
      <c r="D14" s="634" t="s">
        <v>251</v>
      </c>
      <c r="E14" s="634">
        <v>11</v>
      </c>
      <c r="F14" s="634">
        <v>74</v>
      </c>
      <c r="G14" s="634"/>
      <c r="H14" s="633">
        <f>+'Enrollment 5YR'!B33</f>
        <v>74</v>
      </c>
      <c r="I14" s="633" t="str">
        <f>+'Enrollment 5YR'!C33</f>
        <v>04.074.25</v>
      </c>
      <c r="J14" s="633" t="str">
        <f>+'Enrollment 5YR'!E33</f>
        <v>Joint Program</v>
      </c>
      <c r="K14" s="661">
        <f>+'Enrollment 5YR'!K33</f>
        <v>0</v>
      </c>
      <c r="L14" s="635">
        <f>+'Enrollment 5YR'!K33</f>
        <v>0</v>
      </c>
      <c r="M14" s="635"/>
      <c r="N14" s="635"/>
      <c r="O14" s="635"/>
      <c r="P14" s="635"/>
      <c r="Q14" s="635">
        <f>+'Enrollment 5YR'!M33</f>
        <v>0</v>
      </c>
      <c r="R14" s="635">
        <f>+'Enrollment 5YR'!N33</f>
        <v>0</v>
      </c>
    </row>
    <row r="15" spans="1:18">
      <c r="A15">
        <v>1</v>
      </c>
      <c r="B15" s="633" t="str">
        <f>+'Campus Selector'!$G$3</f>
        <v>Canton</v>
      </c>
      <c r="C15" s="634" t="s">
        <v>678</v>
      </c>
      <c r="D15" s="634" t="s">
        <v>251</v>
      </c>
      <c r="E15" s="634">
        <v>12</v>
      </c>
      <c r="F15" s="634">
        <v>73</v>
      </c>
      <c r="G15" s="634"/>
      <c r="H15" s="633">
        <f>+'Enrollment 5YR'!B34</f>
        <v>73</v>
      </c>
      <c r="I15" s="633" t="str">
        <f>+'Enrollment 5YR'!C34</f>
        <v>04.073.25</v>
      </c>
      <c r="J15" s="633" t="str">
        <f>+'Enrollment 5YR'!E34</f>
        <v>Unknown</v>
      </c>
      <c r="K15" s="661">
        <f>+'Enrollment 5YR'!K34</f>
        <v>0</v>
      </c>
      <c r="L15" s="635">
        <f>+'Enrollment 5YR'!K34</f>
        <v>0</v>
      </c>
      <c r="M15" s="635"/>
      <c r="N15" s="635"/>
      <c r="O15" s="635"/>
      <c r="P15" s="635" t="str">
        <f>+'Enrollment 5YR'!L34</f>
        <v>-</v>
      </c>
      <c r="Q15" s="635">
        <f>+'Enrollment 5YR'!M34</f>
        <v>0</v>
      </c>
      <c r="R15" s="635">
        <f>+'Enrollment 5YR'!N34</f>
        <v>0</v>
      </c>
    </row>
    <row r="16" spans="1:18">
      <c r="A16">
        <v>12</v>
      </c>
      <c r="B16" s="633" t="str">
        <f>+'Campus Selector'!$G$3</f>
        <v>Canton</v>
      </c>
      <c r="C16" s="634" t="s">
        <v>678</v>
      </c>
      <c r="D16" s="634" t="s">
        <v>251</v>
      </c>
      <c r="E16" s="634">
        <v>13</v>
      </c>
      <c r="F16" s="634">
        <v>84</v>
      </c>
      <c r="G16" s="634"/>
      <c r="H16" s="633">
        <f>+'Enrollment 5YR'!B35</f>
        <v>84</v>
      </c>
      <c r="I16" s="633" t="str">
        <f>+'Enrollment 5YR'!C35</f>
        <v>04.084.25</v>
      </c>
      <c r="J16" s="633" t="str">
        <f>+'Enrollment 5YR'!E35</f>
        <v>Part-time Graduates</v>
      </c>
      <c r="K16" s="661">
        <f>+'Enrollment 5YR'!K35</f>
        <v>0</v>
      </c>
      <c r="L16" s="635">
        <f>+'Enrollment 5YR'!K35</f>
        <v>0</v>
      </c>
      <c r="M16" s="635"/>
      <c r="N16" s="635"/>
      <c r="O16" s="635"/>
      <c r="P16" s="635"/>
      <c r="Q16" s="635">
        <f>+'Enrollment 5YR'!M35</f>
        <v>0</v>
      </c>
      <c r="R16" s="635">
        <f>+'Enrollment 5YR'!N35</f>
        <v>0</v>
      </c>
    </row>
    <row r="17" spans="1:18">
      <c r="A17">
        <v>15</v>
      </c>
      <c r="B17" s="633" t="str">
        <f>+'Campus Selector'!$G$3</f>
        <v>Canton</v>
      </c>
      <c r="C17" s="634" t="s">
        <v>678</v>
      </c>
      <c r="D17" s="634" t="s">
        <v>251</v>
      </c>
      <c r="E17" s="634">
        <v>14</v>
      </c>
      <c r="F17" s="634">
        <v>89</v>
      </c>
      <c r="G17" s="634"/>
      <c r="H17" s="633">
        <f>+'Enrollment 5YR'!B38</f>
        <v>89</v>
      </c>
      <c r="I17" s="633" t="str">
        <f>+'Enrollment 5YR'!C38</f>
        <v>05.089.25</v>
      </c>
      <c r="J17" s="633" t="str">
        <f>+'Enrollment 5YR'!E38</f>
        <v>Masters Programs</v>
      </c>
      <c r="K17" s="661">
        <f>+'Enrollment 5YR'!K38</f>
        <v>0</v>
      </c>
      <c r="L17" s="635">
        <f>+'Enrollment 5YR'!K38</f>
        <v>0</v>
      </c>
      <c r="M17" s="635"/>
      <c r="N17" s="635"/>
      <c r="O17" s="635"/>
      <c r="P17" s="635"/>
      <c r="Q17" s="635">
        <f>+'Enrollment 5YR'!M38</f>
        <v>0</v>
      </c>
      <c r="R17" s="635">
        <f>+'Enrollment 5YR'!N38</f>
        <v>0</v>
      </c>
    </row>
    <row r="18" spans="1:18">
      <c r="A18">
        <v>16</v>
      </c>
      <c r="B18" s="633" t="str">
        <f>+'Campus Selector'!$G$3</f>
        <v>Canton</v>
      </c>
      <c r="C18" s="634" t="s">
        <v>678</v>
      </c>
      <c r="D18" s="634" t="s">
        <v>251</v>
      </c>
      <c r="E18" s="634">
        <v>15</v>
      </c>
      <c r="F18" s="634">
        <v>90</v>
      </c>
      <c r="G18" s="634"/>
      <c r="H18" s="633">
        <f>+'Enrollment 5YR'!B39</f>
        <v>90</v>
      </c>
      <c r="I18" s="633" t="str">
        <f>+'Enrollment 5YR'!C39</f>
        <v>05.090.25</v>
      </c>
      <c r="J18" s="633" t="str">
        <f>+'Enrollment 5YR'!E39</f>
        <v>Graduate Certificates</v>
      </c>
      <c r="K18" s="661">
        <f>+'Enrollment 5YR'!K39</f>
        <v>0</v>
      </c>
      <c r="L18" s="635">
        <f>+'Enrollment 5YR'!K39</f>
        <v>0</v>
      </c>
      <c r="M18" s="635"/>
      <c r="N18" s="635"/>
      <c r="O18" s="635"/>
      <c r="P18" s="635"/>
      <c r="Q18" s="635">
        <f>+'Enrollment 5YR'!M39</f>
        <v>0</v>
      </c>
      <c r="R18" s="635">
        <f>+'Enrollment 5YR'!N39</f>
        <v>0</v>
      </c>
    </row>
    <row r="19" spans="1:18">
      <c r="A19">
        <v>17</v>
      </c>
      <c r="B19" s="633" t="str">
        <f>+'Campus Selector'!$G$3</f>
        <v>Canton</v>
      </c>
      <c r="C19" s="634" t="s">
        <v>678</v>
      </c>
      <c r="D19" s="634" t="s">
        <v>251</v>
      </c>
      <c r="E19" s="634">
        <v>16</v>
      </c>
      <c r="F19" s="634">
        <v>91</v>
      </c>
      <c r="G19" s="634"/>
      <c r="H19" s="633">
        <f>+'Enrollment 5YR'!B40</f>
        <v>91</v>
      </c>
      <c r="I19" s="633" t="str">
        <f>+'Enrollment 5YR'!C40</f>
        <v>05.091.25</v>
      </c>
      <c r="J19" s="633" t="str">
        <f>+'Enrollment 5YR'!E40</f>
        <v>Doctoral Programs</v>
      </c>
      <c r="K19" s="661">
        <f>+'Enrollment 5YR'!K40</f>
        <v>0</v>
      </c>
      <c r="L19" s="635">
        <f>+'Enrollment 5YR'!K40</f>
        <v>0</v>
      </c>
      <c r="M19" s="635"/>
      <c r="N19" s="635"/>
      <c r="O19" s="635"/>
      <c r="P19" s="635"/>
      <c r="Q19" s="635">
        <f>+'Enrollment 5YR'!M40</f>
        <v>0</v>
      </c>
      <c r="R19" s="635">
        <f>+'Enrollment 5YR'!N40</f>
        <v>0</v>
      </c>
    </row>
    <row r="20" spans="1:18">
      <c r="A20">
        <v>19</v>
      </c>
      <c r="B20" s="633" t="str">
        <f>+'Campus Selector'!$G$3</f>
        <v>Canton</v>
      </c>
      <c r="C20" s="634" t="s">
        <v>678</v>
      </c>
      <c r="D20" s="634" t="s">
        <v>251</v>
      </c>
      <c r="E20" s="634">
        <v>17</v>
      </c>
      <c r="F20" s="634">
        <v>94</v>
      </c>
      <c r="G20" s="634"/>
      <c r="H20" s="633">
        <f>+'Enrollment 5YR'!B41</f>
        <v>94</v>
      </c>
      <c r="I20" s="633" t="str">
        <f>+'Enrollment 5YR'!C41</f>
        <v>05.094.25</v>
      </c>
      <c r="J20" s="633" t="str">
        <f>+'Enrollment 5YR'!E41</f>
        <v>First-Professional</v>
      </c>
      <c r="K20" s="661">
        <f>+'Enrollment 5YR'!K41</f>
        <v>0</v>
      </c>
      <c r="L20" s="635">
        <f>+'Enrollment 5YR'!K41</f>
        <v>0</v>
      </c>
      <c r="M20" s="635"/>
      <c r="N20" s="635"/>
      <c r="O20" s="635"/>
      <c r="P20" s="635"/>
      <c r="Q20" s="635">
        <f>+'Enrollment 5YR'!M41</f>
        <v>0</v>
      </c>
      <c r="R20" s="635">
        <f>+'Enrollment 5YR'!N41</f>
        <v>0</v>
      </c>
    </row>
    <row r="21" spans="1:18">
      <c r="A21">
        <v>20</v>
      </c>
      <c r="B21" s="633" t="str">
        <f>+'Campus Selector'!$G$3</f>
        <v>Canton</v>
      </c>
      <c r="C21" s="634" t="s">
        <v>678</v>
      </c>
      <c r="D21" s="634" t="s">
        <v>251</v>
      </c>
      <c r="E21" s="634">
        <v>18</v>
      </c>
      <c r="F21" s="634">
        <v>95</v>
      </c>
      <c r="G21" s="634"/>
      <c r="H21" s="633">
        <f>+'Enrollment 5YR'!B42</f>
        <v>95</v>
      </c>
      <c r="I21" s="633" t="str">
        <f>+'Enrollment 5YR'!C42</f>
        <v>05.095.25</v>
      </c>
      <c r="J21" s="633" t="str">
        <f>+'Enrollment 5YR'!E42</f>
        <v>Non-Degree Seeking</v>
      </c>
      <c r="K21" s="661">
        <f>+'Enrollment 5YR'!K42</f>
        <v>0</v>
      </c>
      <c r="L21" s="635">
        <f>+'Enrollment 5YR'!K42</f>
        <v>0</v>
      </c>
      <c r="M21" s="635"/>
      <c r="N21" s="635"/>
      <c r="O21" s="635"/>
      <c r="P21" s="635"/>
      <c r="Q21" s="635">
        <f>+'Enrollment 5YR'!M42</f>
        <v>0</v>
      </c>
      <c r="R21" s="635">
        <f>+'Enrollment 5YR'!N42</f>
        <v>0</v>
      </c>
    </row>
    <row r="22" spans="1:18">
      <c r="A22">
        <v>13</v>
      </c>
      <c r="B22" s="633" t="str">
        <f>+'Campus Selector'!$G$3</f>
        <v>Canton</v>
      </c>
      <c r="C22" s="634" t="s">
        <v>678</v>
      </c>
      <c r="D22" s="634" t="s">
        <v>251</v>
      </c>
      <c r="E22" s="634">
        <v>19</v>
      </c>
      <c r="F22" s="634">
        <v>87</v>
      </c>
      <c r="G22" s="634"/>
      <c r="H22" s="633">
        <f>+'Enrollment 5YR'!B46</f>
        <v>87</v>
      </c>
      <c r="I22" s="633" t="str">
        <f>+'Enrollment 5YR'!C46</f>
        <v>04.087.25</v>
      </c>
      <c r="J22" s="633" t="str">
        <f>+'Enrollment 5YR'!E46</f>
        <v>Official AAFTE</v>
      </c>
      <c r="K22" s="661">
        <f>+'Enrollment 5YR'!K46</f>
        <v>2796.5740000000001</v>
      </c>
      <c r="L22" s="635">
        <f>+'Enrollment 5YR'!K46</f>
        <v>2796.5740000000001</v>
      </c>
      <c r="M22" s="635"/>
      <c r="N22" s="635"/>
      <c r="O22" s="635"/>
      <c r="P22" s="635"/>
      <c r="Q22" s="635" t="str">
        <f>+'Enrollment 5YR'!M46</f>
        <v>-</v>
      </c>
      <c r="R22" s="635" t="str">
        <f>+'Enrollment 5YR'!N46</f>
        <v>-</v>
      </c>
    </row>
    <row r="23" spans="1:18">
      <c r="A23">
        <v>18</v>
      </c>
      <c r="B23" s="633" t="str">
        <f>+'Campus Selector'!$G$3</f>
        <v>Canton</v>
      </c>
      <c r="C23" s="634" t="s">
        <v>678</v>
      </c>
      <c r="D23" s="634" t="s">
        <v>251</v>
      </c>
      <c r="E23" s="634">
        <v>20</v>
      </c>
      <c r="F23" s="634">
        <v>92</v>
      </c>
      <c r="G23" s="634"/>
      <c r="H23" s="633">
        <f>+'Enrollment 5YR'!B47</f>
        <v>92</v>
      </c>
      <c r="I23" s="633" t="str">
        <f>+'Enrollment 5YR'!C47</f>
        <v>04.092.25</v>
      </c>
      <c r="J23" s="633" t="str">
        <f>+'Enrollment 5YR'!E47</f>
        <v>Planned AAFTE</v>
      </c>
      <c r="K23" s="661">
        <f>+'Enrollment 5YR'!K47</f>
        <v>2699.0614261168389</v>
      </c>
      <c r="L23" s="635">
        <f>+'Enrollment 5YR'!K47</f>
        <v>2699.0614261168389</v>
      </c>
      <c r="M23" s="635"/>
      <c r="N23" s="635"/>
      <c r="O23" s="635"/>
      <c r="P23" s="635"/>
      <c r="Q23" s="635">
        <f>+'Enrollment 5YR'!M47</f>
        <v>3120</v>
      </c>
      <c r="R23" s="635">
        <f>+'Enrollment 5YR'!N47</f>
        <v>3268</v>
      </c>
    </row>
    <row r="24" spans="1:18">
      <c r="A24">
        <v>21</v>
      </c>
      <c r="L24" s="635"/>
      <c r="M24" s="635"/>
      <c r="N24" s="635"/>
      <c r="O24" s="635"/>
      <c r="P24" s="635"/>
      <c r="Q24" s="635"/>
      <c r="R24" s="635"/>
    </row>
    <row r="25" spans="1:18">
      <c r="A25">
        <v>22</v>
      </c>
      <c r="B25" s="633" t="str">
        <f>+'Campus Selector'!$G$3</f>
        <v>Canton</v>
      </c>
      <c r="C25" s="634" t="s">
        <v>679</v>
      </c>
      <c r="D25" s="633" t="s">
        <v>245</v>
      </c>
      <c r="E25" s="633">
        <v>1</v>
      </c>
      <c r="F25" s="633">
        <v>161</v>
      </c>
      <c r="H25" s="633">
        <f>+'FULL Enrollment Beyond Fall'!B11</f>
        <v>161</v>
      </c>
      <c r="I25" s="633" t="str">
        <f>+'FULL Enrollment Beyond Fall'!C11</f>
        <v>13.161.25</v>
      </c>
      <c r="J25" s="633" t="str">
        <f>+'FULL Enrollment Beyond Fall'!E11</f>
        <v>Unduplicated Academic Year Headcount</v>
      </c>
      <c r="K25" s="656">
        <f>+'FULL Enrollment Beyond Fall'!J11</f>
        <v>4879</v>
      </c>
      <c r="L25" s="636">
        <f>+'FULL Enrollment Beyond Fall'!I11</f>
        <v>5232</v>
      </c>
      <c r="M25" s="636"/>
      <c r="N25" s="636"/>
      <c r="O25" s="636"/>
      <c r="P25" s="636"/>
      <c r="Q25" s="636">
        <f>+'FULL Enrollment Beyond Fall'!K11</f>
        <v>5100</v>
      </c>
      <c r="R25" s="636">
        <f>+'FULL Enrollment Beyond Fall'!L11</f>
        <v>5400</v>
      </c>
    </row>
    <row r="26" spans="1:18">
      <c r="A26">
        <v>23</v>
      </c>
      <c r="B26" s="633" t="str">
        <f>+'Campus Selector'!$G$3</f>
        <v>Canton</v>
      </c>
      <c r="C26" s="634" t="s">
        <v>679</v>
      </c>
      <c r="D26" s="633" t="s">
        <v>245</v>
      </c>
      <c r="E26" s="633">
        <v>2</v>
      </c>
      <c r="F26" s="633">
        <v>162</v>
      </c>
      <c r="H26" s="633">
        <f>+'FULL Enrollment Beyond Fall'!B13</f>
        <v>162</v>
      </c>
      <c r="I26" s="633" t="str">
        <f>+'FULL Enrollment Beyond Fall'!C13</f>
        <v>13.162.25</v>
      </c>
      <c r="J26" s="633" t="str">
        <f>+'FULL Enrollment Beyond Fall'!E13</f>
        <v>College in the High Schools (state-ops)</v>
      </c>
      <c r="K26" s="656">
        <f>+'FULL Enrollment Beyond Fall'!J13</f>
        <v>0</v>
      </c>
      <c r="L26" s="636" t="str">
        <f>+'FULL Enrollment Beyond Fall'!I13</f>
        <v>n/a</v>
      </c>
      <c r="M26" s="636"/>
      <c r="N26" s="636"/>
      <c r="O26" s="636"/>
      <c r="P26" s="636"/>
      <c r="Q26" s="636">
        <f>+'FULL Enrollment Beyond Fall'!K13</f>
        <v>0</v>
      </c>
      <c r="R26" s="636">
        <f>+'FULL Enrollment Beyond Fall'!L13</f>
        <v>0</v>
      </c>
    </row>
    <row r="27" spans="1:18">
      <c r="A27">
        <v>25</v>
      </c>
      <c r="B27" s="633" t="str">
        <f>+'Campus Selector'!$G$3</f>
        <v>Canton</v>
      </c>
      <c r="C27" s="634" t="s">
        <v>679</v>
      </c>
      <c r="D27" s="633" t="s">
        <v>245</v>
      </c>
      <c r="E27" s="633">
        <v>3</v>
      </c>
      <c r="F27" s="633">
        <v>164</v>
      </c>
      <c r="H27" s="633">
        <f>+'FULL Enrollment Beyond Fall'!B16</f>
        <v>164</v>
      </c>
      <c r="I27" s="633" t="str">
        <f>+'FULL Enrollment Beyond Fall'!C16</f>
        <v>13.164.25</v>
      </c>
      <c r="J27" s="633" t="str">
        <f>+'FULL Enrollment Beyond Fall'!E16</f>
        <v>Business and Industry</v>
      </c>
      <c r="K27" s="656">
        <f>+'FULL Enrollment Beyond Fall'!J16</f>
        <v>778</v>
      </c>
      <c r="L27" s="636">
        <f>+'FULL Enrollment Beyond Fall'!I16</f>
        <v>741</v>
      </c>
      <c r="M27" s="636"/>
      <c r="N27" s="636"/>
      <c r="O27" s="636"/>
      <c r="P27" s="636"/>
      <c r="Q27" s="636">
        <f>+'FULL Enrollment Beyond Fall'!K16</f>
        <v>1000</v>
      </c>
      <c r="R27" s="636">
        <f>+'FULL Enrollment Beyond Fall'!L16</f>
        <v>1300</v>
      </c>
    </row>
    <row r="28" spans="1:18">
      <c r="A28">
        <v>26</v>
      </c>
      <c r="B28" s="633" t="str">
        <f>+'Campus Selector'!$G$3</f>
        <v>Canton</v>
      </c>
      <c r="C28" s="634" t="s">
        <v>679</v>
      </c>
      <c r="D28" s="633" t="s">
        <v>245</v>
      </c>
      <c r="E28" s="633">
        <v>4</v>
      </c>
      <c r="F28" s="633">
        <v>165</v>
      </c>
      <c r="H28" s="633">
        <f>+'FULL Enrollment Beyond Fall'!B17</f>
        <v>165</v>
      </c>
      <c r="I28" s="633" t="str">
        <f>+'FULL Enrollment Beyond Fall'!C17</f>
        <v>13.165.25</v>
      </c>
      <c r="J28" s="633" t="str">
        <f>+'FULL Enrollment Beyond Fall'!E17</f>
        <v>Non-Business and Industry</v>
      </c>
      <c r="K28" s="656">
        <f>+'FULL Enrollment Beyond Fall'!J17</f>
        <v>4237</v>
      </c>
      <c r="L28" s="636">
        <f>+'FULL Enrollment Beyond Fall'!I17</f>
        <v>1762</v>
      </c>
      <c r="M28" s="636"/>
      <c r="N28" s="636"/>
      <c r="O28" s="636"/>
      <c r="P28" s="636"/>
      <c r="Q28" s="636">
        <f>+'FULL Enrollment Beyond Fall'!K17</f>
        <v>5000</v>
      </c>
      <c r="R28" s="636">
        <f>+'FULL Enrollment Beyond Fall'!L17</f>
        <v>5200</v>
      </c>
    </row>
    <row r="29" spans="1:18">
      <c r="C29" s="634"/>
      <c r="K29" s="656"/>
      <c r="L29" s="636"/>
      <c r="M29" s="636"/>
      <c r="N29" s="636"/>
      <c r="O29" s="636"/>
      <c r="P29" s="636"/>
      <c r="Q29" s="636"/>
      <c r="R29" s="636"/>
    </row>
    <row r="30" spans="1:18">
      <c r="A30">
        <v>27</v>
      </c>
      <c r="L30" s="636"/>
      <c r="M30" s="636"/>
      <c r="N30" s="636"/>
      <c r="O30" s="636"/>
      <c r="P30" s="636"/>
      <c r="Q30" s="636"/>
      <c r="R30" s="636"/>
    </row>
    <row r="31" spans="1:18">
      <c r="A31">
        <v>28</v>
      </c>
      <c r="B31" s="633" t="str">
        <f>+'Campus Selector'!$G$3</f>
        <v>Canton</v>
      </c>
      <c r="C31" s="634" t="s">
        <v>680</v>
      </c>
      <c r="D31" s="633" t="s">
        <v>246</v>
      </c>
      <c r="E31" s="633">
        <v>1</v>
      </c>
      <c r="H31" s="633">
        <f>+'Applicant Acceptance'!B9</f>
        <v>97</v>
      </c>
      <c r="I31" s="633" t="str">
        <f>+'Applicant Acceptance'!C9</f>
        <v>06.097.25</v>
      </c>
      <c r="J31" s="633" t="str">
        <f>+'Applicant Acceptance'!E9</f>
        <v>Applicants</v>
      </c>
      <c r="K31" s="656">
        <f>+'Applicant Acceptance'!K9</f>
        <v>4380</v>
      </c>
      <c r="L31" s="636">
        <f>+'Applicant Acceptance'!L9</f>
        <v>0.30395951175945224</v>
      </c>
      <c r="M31" s="636"/>
      <c r="N31" s="636"/>
      <c r="O31" s="636"/>
      <c r="P31" s="636"/>
      <c r="Q31" s="636">
        <f>+'Applicant Acceptance'!N9</f>
        <v>4500</v>
      </c>
      <c r="R31" s="636">
        <f>+'Applicant Acceptance'!O9</f>
        <v>5000</v>
      </c>
    </row>
    <row r="32" spans="1:18">
      <c r="A32">
        <v>29</v>
      </c>
      <c r="B32" s="633" t="str">
        <f>+'Campus Selector'!$G$3</f>
        <v>Canton</v>
      </c>
      <c r="C32" s="634" t="s">
        <v>680</v>
      </c>
      <c r="D32" s="633" t="s">
        <v>246</v>
      </c>
      <c r="E32" s="633">
        <v>2</v>
      </c>
      <c r="H32" s="633">
        <f>+'Applicant Acceptance'!B10</f>
        <v>98</v>
      </c>
      <c r="I32" s="633" t="str">
        <f>+'Applicant Acceptance'!C10</f>
        <v>06.098.25</v>
      </c>
      <c r="J32" s="633" t="str">
        <f>+'Applicant Acceptance'!E10</f>
        <v>Acceptances</v>
      </c>
      <c r="K32" s="656">
        <f>+'Applicant Acceptance'!K10</f>
        <v>3072</v>
      </c>
      <c r="L32" s="636">
        <f>+'Applicant Acceptance'!L10</f>
        <v>0.15837104072398189</v>
      </c>
      <c r="M32" s="636"/>
      <c r="N32" s="636"/>
      <c r="O32" s="636"/>
      <c r="P32" s="636"/>
      <c r="Q32" s="636">
        <f>+'Applicant Acceptance'!N10</f>
        <v>3300</v>
      </c>
      <c r="R32" s="636">
        <f>+'Applicant Acceptance'!O10</f>
        <v>3500</v>
      </c>
    </row>
    <row r="33" spans="1:19">
      <c r="A33">
        <v>30</v>
      </c>
      <c r="B33" s="633" t="str">
        <f>+'Campus Selector'!$G$3</f>
        <v>Canton</v>
      </c>
      <c r="C33" s="634" t="s">
        <v>680</v>
      </c>
      <c r="D33" s="633" t="s">
        <v>246</v>
      </c>
      <c r="E33" s="633">
        <v>3</v>
      </c>
      <c r="H33" s="633">
        <f>+'Applicant Acceptance'!B12</f>
        <v>99</v>
      </c>
      <c r="I33" s="633" t="str">
        <f>+'Applicant Acceptance'!C12</f>
        <v>06.099.25</v>
      </c>
      <c r="J33" s="633" t="str">
        <f>+'Applicant Acceptance'!E12</f>
        <v>Enrolled</v>
      </c>
      <c r="K33" s="656">
        <f>+'Applicant Acceptance'!K12</f>
        <v>726</v>
      </c>
      <c r="L33" s="636">
        <f>+'Applicant Acceptance'!L12</f>
        <v>-5.9585492227979271E-2</v>
      </c>
      <c r="M33" s="636"/>
      <c r="N33" s="636"/>
      <c r="O33" s="636"/>
      <c r="P33" s="636"/>
      <c r="Q33" s="636">
        <f>+'Applicant Acceptance'!N12</f>
        <v>743</v>
      </c>
      <c r="R33" s="636">
        <f>+'Applicant Acceptance'!O12</f>
        <v>800</v>
      </c>
    </row>
    <row r="34" spans="1:19">
      <c r="A34">
        <v>38</v>
      </c>
      <c r="B34" s="633" t="str">
        <f>+'Campus Selector'!$G$3</f>
        <v>Canton</v>
      </c>
      <c r="C34" s="634" t="s">
        <v>680</v>
      </c>
      <c r="D34" s="633" t="s">
        <v>246</v>
      </c>
      <c r="E34" s="633">
        <v>4</v>
      </c>
      <c r="H34" s="633">
        <f>+'Applicant Acceptance'!B17</f>
        <v>107</v>
      </c>
      <c r="I34" s="633" t="str">
        <f>+'Applicant Acceptance'!C17</f>
        <v>06.107.25</v>
      </c>
      <c r="J34" s="633" t="str">
        <f>+'Applicant Acceptance'!E17</f>
        <v>Total First-time, Full-time in Bacc Cohort</v>
      </c>
      <c r="K34" s="656">
        <f>+'Applicant Acceptance'!K17</f>
        <v>131</v>
      </c>
      <c r="L34" s="636">
        <f>+'Applicant Acceptance'!L17</f>
        <v>0.11965811965811966</v>
      </c>
      <c r="M34" s="636"/>
      <c r="N34" s="636"/>
      <c r="O34" s="636"/>
      <c r="P34" s="636"/>
      <c r="Q34" s="636">
        <f>+'Applicant Acceptance'!N17</f>
        <v>144</v>
      </c>
      <c r="R34" s="636">
        <f>+'Applicant Acceptance'!O17</f>
        <v>154</v>
      </c>
    </row>
    <row r="35" spans="1:19">
      <c r="A35">
        <v>31</v>
      </c>
      <c r="B35" s="633" t="str">
        <f>+'Campus Selector'!$G$3</f>
        <v>Canton</v>
      </c>
      <c r="C35" s="634" t="s">
        <v>680</v>
      </c>
      <c r="D35" s="633" t="s">
        <v>246</v>
      </c>
      <c r="E35" s="633">
        <v>5</v>
      </c>
      <c r="H35" s="633">
        <f>+'Applicant Acceptance'!B18</f>
        <v>100</v>
      </c>
      <c r="I35" s="633" t="str">
        <f>+'Applicant Acceptance'!C18</f>
        <v>06.100.25</v>
      </c>
      <c r="J35" s="633" t="str">
        <f>+'Applicant Acceptance'!E18</f>
        <v>Group 1</v>
      </c>
      <c r="K35" s="656">
        <f>+'Applicant Acceptance'!K18</f>
        <v>10</v>
      </c>
      <c r="L35" s="636" t="str">
        <f>+'Applicant Acceptance'!L18</f>
        <v>-</v>
      </c>
      <c r="M35" s="636"/>
      <c r="N35" s="636"/>
      <c r="O35" s="636"/>
      <c r="P35" s="636"/>
      <c r="Q35" s="636">
        <f>+'Applicant Acceptance'!N18</f>
        <v>10</v>
      </c>
      <c r="R35" s="636">
        <f>+'Applicant Acceptance'!O18</f>
        <v>13</v>
      </c>
    </row>
    <row r="36" spans="1:19">
      <c r="A36">
        <v>32</v>
      </c>
      <c r="B36" s="633" t="str">
        <f>+'Campus Selector'!$G$3</f>
        <v>Canton</v>
      </c>
      <c r="C36" s="634" t="s">
        <v>680</v>
      </c>
      <c r="D36" s="633" t="s">
        <v>246</v>
      </c>
      <c r="E36" s="633">
        <v>6</v>
      </c>
      <c r="H36" s="633">
        <f>+'Applicant Acceptance'!B19</f>
        <v>101</v>
      </c>
      <c r="I36" s="633" t="str">
        <f>+'Applicant Acceptance'!C19</f>
        <v>06.101.25</v>
      </c>
      <c r="J36" s="633" t="str">
        <f>+'Applicant Acceptance'!E19</f>
        <v>Group 2</v>
      </c>
      <c r="K36" s="656">
        <f>+'Applicant Acceptance'!K19</f>
        <v>18</v>
      </c>
      <c r="L36" s="636" t="str">
        <f>+'Applicant Acceptance'!L19</f>
        <v>-</v>
      </c>
      <c r="M36" s="636"/>
      <c r="N36" s="636"/>
      <c r="O36" s="636"/>
      <c r="P36" s="636"/>
      <c r="Q36" s="636">
        <f>+'Applicant Acceptance'!N19</f>
        <v>20</v>
      </c>
      <c r="R36" s="636">
        <f>+'Applicant Acceptance'!O19</f>
        <v>22</v>
      </c>
      <c r="S36" s="636"/>
    </row>
    <row r="37" spans="1:19">
      <c r="A37">
        <v>33</v>
      </c>
      <c r="B37" s="633" t="str">
        <f>+'Campus Selector'!$G$3</f>
        <v>Canton</v>
      </c>
      <c r="C37" s="634" t="s">
        <v>680</v>
      </c>
      <c r="D37" s="633" t="s">
        <v>246</v>
      </c>
      <c r="E37" s="633">
        <v>7</v>
      </c>
      <c r="H37" s="633">
        <f>+'Applicant Acceptance'!B20</f>
        <v>102</v>
      </c>
      <c r="I37" s="633" t="str">
        <f>+'Applicant Acceptance'!C20</f>
        <v>06.102.25</v>
      </c>
      <c r="J37" s="633" t="str">
        <f>+'Applicant Acceptance'!E20</f>
        <v>Group 3</v>
      </c>
      <c r="K37" s="656">
        <f>+'Applicant Acceptance'!K20</f>
        <v>25</v>
      </c>
      <c r="L37" s="636" t="str">
        <f>+'Applicant Acceptance'!L20</f>
        <v>-</v>
      </c>
      <c r="M37" s="636"/>
      <c r="N37" s="636"/>
      <c r="O37" s="636"/>
      <c r="P37" s="636"/>
      <c r="Q37" s="636">
        <f>+'Applicant Acceptance'!N20</f>
        <v>45</v>
      </c>
      <c r="R37" s="636">
        <f>+'Applicant Acceptance'!O20</f>
        <v>50</v>
      </c>
      <c r="S37" s="636"/>
    </row>
    <row r="38" spans="1:19">
      <c r="A38">
        <v>34</v>
      </c>
      <c r="B38" s="633" t="str">
        <f>+'Campus Selector'!$G$3</f>
        <v>Canton</v>
      </c>
      <c r="C38" s="634" t="s">
        <v>680</v>
      </c>
      <c r="D38" s="633" t="s">
        <v>246</v>
      </c>
      <c r="E38" s="633">
        <v>8</v>
      </c>
      <c r="H38" s="633">
        <f>+'Applicant Acceptance'!B21</f>
        <v>103</v>
      </c>
      <c r="I38" s="633" t="str">
        <f>+'Applicant Acceptance'!C21</f>
        <v>06.103.25</v>
      </c>
      <c r="J38" s="633" t="str">
        <f>+'Applicant Acceptance'!E21</f>
        <v>Group 4</v>
      </c>
      <c r="K38" s="656">
        <f>+'Applicant Acceptance'!K21</f>
        <v>30</v>
      </c>
      <c r="L38" s="636" t="str">
        <f>+'Applicant Acceptance'!L21</f>
        <v>-</v>
      </c>
      <c r="M38" s="636"/>
      <c r="N38" s="636"/>
      <c r="O38" s="636"/>
      <c r="P38" s="636"/>
      <c r="Q38" s="636">
        <f>+'Applicant Acceptance'!N21</f>
        <v>30</v>
      </c>
      <c r="R38" s="636">
        <f>+'Applicant Acceptance'!O21</f>
        <v>30</v>
      </c>
      <c r="S38" s="636"/>
    </row>
    <row r="39" spans="1:19">
      <c r="A39">
        <v>35</v>
      </c>
      <c r="B39" s="633" t="str">
        <f>+'Campus Selector'!$G$3</f>
        <v>Canton</v>
      </c>
      <c r="C39" s="634" t="s">
        <v>680</v>
      </c>
      <c r="D39" s="633" t="s">
        <v>246</v>
      </c>
      <c r="E39" s="633">
        <v>9</v>
      </c>
      <c r="H39" s="633">
        <f>+'Applicant Acceptance'!B22</f>
        <v>104</v>
      </c>
      <c r="I39" s="633" t="str">
        <f>+'Applicant Acceptance'!C22</f>
        <v>06.104.25</v>
      </c>
      <c r="J39" s="633" t="str">
        <f>+'Applicant Acceptance'!E22</f>
        <v>Group 5</v>
      </c>
      <c r="K39" s="656">
        <f>+'Applicant Acceptance'!K22</f>
        <v>4</v>
      </c>
      <c r="L39" s="636" t="str">
        <f>+'Applicant Acceptance'!L22</f>
        <v>-</v>
      </c>
      <c r="M39" s="636"/>
      <c r="N39" s="636"/>
      <c r="O39" s="636"/>
      <c r="P39" s="636"/>
      <c r="Q39" s="636">
        <f>+'Applicant Acceptance'!N22</f>
        <v>4</v>
      </c>
      <c r="R39" s="636">
        <f>+'Applicant Acceptance'!O22</f>
        <v>4</v>
      </c>
      <c r="S39" s="636"/>
    </row>
    <row r="40" spans="1:19">
      <c r="A40">
        <v>36</v>
      </c>
      <c r="B40" s="633" t="str">
        <f>+'Campus Selector'!$G$3</f>
        <v>Canton</v>
      </c>
      <c r="C40" s="634" t="s">
        <v>680</v>
      </c>
      <c r="D40" s="633" t="s">
        <v>246</v>
      </c>
      <c r="E40" s="633">
        <v>10</v>
      </c>
      <c r="H40" s="633">
        <f>+'Applicant Acceptance'!B23</f>
        <v>105</v>
      </c>
      <c r="I40" s="633" t="str">
        <f>+'Applicant Acceptance'!C23</f>
        <v>06.105.25</v>
      </c>
      <c r="J40" s="633" t="str">
        <f>+'Applicant Acceptance'!E23</f>
        <v>Not Classifiable2</v>
      </c>
      <c r="K40" s="656">
        <f>+'Applicant Acceptance'!K23</f>
        <v>44</v>
      </c>
      <c r="L40" s="636">
        <f>+'Applicant Acceptance'!L23</f>
        <v>-0.62393162393162394</v>
      </c>
      <c r="M40" s="636"/>
      <c r="N40" s="636"/>
      <c r="O40" s="636"/>
      <c r="P40" s="636"/>
      <c r="Q40" s="636">
        <f>+'Applicant Acceptance'!N23</f>
        <v>35</v>
      </c>
      <c r="R40" s="636">
        <f>+'Applicant Acceptance'!O23</f>
        <v>35</v>
      </c>
      <c r="S40" s="636"/>
    </row>
    <row r="41" spans="1:19">
      <c r="A41">
        <v>37</v>
      </c>
      <c r="B41" s="633" t="str">
        <f>+'Campus Selector'!$G$3</f>
        <v>Canton</v>
      </c>
      <c r="C41" s="634" t="s">
        <v>680</v>
      </c>
      <c r="D41" s="633" t="s">
        <v>246</v>
      </c>
      <c r="E41" s="633">
        <v>11</v>
      </c>
      <c r="H41" s="633">
        <f>+'Applicant Acceptance'!B24</f>
        <v>106</v>
      </c>
      <c r="I41" s="633" t="str">
        <f>+'Applicant Acceptance'!C24</f>
        <v>06.106.25</v>
      </c>
      <c r="J41" s="633" t="str">
        <f>+'Applicant Acceptance'!E24</f>
        <v>EOP/Risk Admission</v>
      </c>
      <c r="K41" s="656">
        <f>+'Applicant Acceptance'!K24</f>
        <v>0</v>
      </c>
      <c r="L41" s="636" t="str">
        <f>+'Applicant Acceptance'!L24</f>
        <v>-</v>
      </c>
      <c r="M41" s="636"/>
      <c r="N41" s="636"/>
      <c r="O41" s="636"/>
      <c r="P41" s="636"/>
      <c r="Q41" s="636">
        <f>+'Applicant Acceptance'!N24</f>
        <v>0</v>
      </c>
      <c r="R41" s="636">
        <f>+'Applicant Acceptance'!O24</f>
        <v>0</v>
      </c>
      <c r="S41" s="636"/>
    </row>
    <row r="42" spans="1:19">
      <c r="A42">
        <v>39</v>
      </c>
      <c r="B42" s="633" t="str">
        <f>+'Campus Selector'!$G$3</f>
        <v>Canton</v>
      </c>
      <c r="C42" s="634" t="s">
        <v>680</v>
      </c>
      <c r="D42" s="633" t="s">
        <v>246</v>
      </c>
      <c r="E42" s="633">
        <v>12</v>
      </c>
      <c r="H42" s="633">
        <f>+'Applicant Acceptance'!B36</f>
        <v>108</v>
      </c>
      <c r="I42" s="633" t="str">
        <f>+'Applicant Acceptance'!C36</f>
        <v>06.108.25</v>
      </c>
      <c r="J42" s="633" t="str">
        <f>+'Applicant Acceptance'!E36</f>
        <v>Mean Combined Math/Verbal SAT Score</v>
      </c>
      <c r="K42" s="657">
        <f>+'Applicant Acceptance'!K36</f>
        <v>980</v>
      </c>
      <c r="L42" s="636">
        <f>+'Applicant Acceptance'!L36</f>
        <v>-1.8090731978847748E-2</v>
      </c>
      <c r="M42" s="636"/>
      <c r="N42" s="636"/>
      <c r="O42" s="636"/>
      <c r="P42" s="636"/>
      <c r="Q42" s="636">
        <f>+'Applicant Acceptance'!N36</f>
        <v>990</v>
      </c>
      <c r="R42" s="636">
        <f>+'Applicant Acceptance'!O36</f>
        <v>990</v>
      </c>
      <c r="S42" s="636"/>
    </row>
    <row r="43" spans="1:19">
      <c r="A43">
        <v>40</v>
      </c>
      <c r="B43" s="633" t="str">
        <f>+'Campus Selector'!$G$3</f>
        <v>Canton</v>
      </c>
      <c r="C43" s="634" t="s">
        <v>680</v>
      </c>
      <c r="D43" s="633" t="s">
        <v>246</v>
      </c>
      <c r="E43" s="633">
        <v>13</v>
      </c>
      <c r="H43" s="633">
        <f>+'Applicant Acceptance'!B37</f>
        <v>109</v>
      </c>
      <c r="I43" s="633" t="str">
        <f>+'Applicant Acceptance'!C37</f>
        <v>06.109.25</v>
      </c>
      <c r="J43" s="633" t="str">
        <f>+'Applicant Acceptance'!E37</f>
        <v>Mean High School Average</v>
      </c>
      <c r="K43" s="633">
        <f>+'Applicant Acceptance'!K37</f>
        <v>85.55725190839695</v>
      </c>
      <c r="L43" s="636">
        <f>+'Applicant Acceptance'!L37</f>
        <v>6.6961296370701294E-4</v>
      </c>
      <c r="M43" s="636"/>
      <c r="N43" s="636"/>
      <c r="O43" s="636"/>
      <c r="P43" s="636"/>
      <c r="Q43" s="636">
        <f>+'Applicant Acceptance'!N37</f>
        <v>85.5</v>
      </c>
      <c r="R43" s="636">
        <f>+'Applicant Acceptance'!O37</f>
        <v>85.5</v>
      </c>
      <c r="S43" s="636"/>
    </row>
    <row r="44" spans="1:19">
      <c r="A44">
        <v>41</v>
      </c>
      <c r="L44" s="635"/>
      <c r="M44" s="635"/>
      <c r="N44" s="635"/>
      <c r="O44" s="635"/>
      <c r="P44" s="635"/>
      <c r="Q44" s="635"/>
      <c r="R44" s="635"/>
      <c r="S44" s="635"/>
    </row>
    <row r="45" spans="1:19">
      <c r="A45">
        <v>42</v>
      </c>
      <c r="B45" s="633" t="str">
        <f>+'Campus Selector'!$G$3</f>
        <v>Canton</v>
      </c>
      <c r="C45" s="634" t="s">
        <v>681</v>
      </c>
      <c r="D45" s="633" t="s">
        <v>249</v>
      </c>
      <c r="E45" s="633">
        <v>1</v>
      </c>
      <c r="H45" s="633">
        <f>+'Geographic Diversity 5 Year'!B17</f>
        <v>429</v>
      </c>
      <c r="I45" s="633" t="str">
        <f>+'Geographic Diversity 5 Year'!C17</f>
        <v>07.429.25</v>
      </c>
      <c r="J45" s="633" t="str">
        <f>+'Geographic Diversity 5 Year'!E17</f>
        <v xml:space="preserve">New York State </v>
      </c>
      <c r="K45" s="656">
        <f>+'Geographic Diversity 5 Year'!K17</f>
        <v>3127</v>
      </c>
      <c r="L45" s="636">
        <f>+'Geographic Diversity 5 Year'!K17</f>
        <v>3127</v>
      </c>
      <c r="M45" s="636"/>
      <c r="N45" s="636"/>
      <c r="O45" s="636"/>
      <c r="P45" s="636"/>
      <c r="Q45" s="636">
        <f>+'Geographic Diversity 5 Year'!M17</f>
        <v>3384</v>
      </c>
      <c r="R45" s="636">
        <f>+'Geographic Diversity 5 Year'!N17</f>
        <v>3496</v>
      </c>
      <c r="S45" s="636"/>
    </row>
    <row r="46" spans="1:19">
      <c r="A46">
        <v>43</v>
      </c>
      <c r="B46" s="633" t="str">
        <f>+'Campus Selector'!$G$3</f>
        <v>Canton</v>
      </c>
      <c r="C46" s="634" t="s">
        <v>681</v>
      </c>
      <c r="D46" s="633" t="s">
        <v>249</v>
      </c>
      <c r="E46" s="633">
        <v>2</v>
      </c>
      <c r="H46" s="633">
        <f>+'Geographic Diversity 5 Year'!B19</f>
        <v>430</v>
      </c>
      <c r="I46" s="633" t="str">
        <f>+'Geographic Diversity 5 Year'!C19</f>
        <v>07.430.25</v>
      </c>
      <c r="J46" s="633" t="str">
        <f>+'Geographic Diversity 5 Year'!E19</f>
        <v>U.S. Non New York</v>
      </c>
      <c r="K46" s="656">
        <f>+'Geographic Diversity 5 Year'!K19</f>
        <v>100</v>
      </c>
      <c r="L46" s="636">
        <f>+'Geographic Diversity 5 Year'!K19</f>
        <v>100</v>
      </c>
      <c r="M46" s="636"/>
      <c r="N46" s="636"/>
      <c r="O46" s="636"/>
      <c r="P46" s="636"/>
      <c r="Q46" s="636">
        <f>+'Geographic Diversity 5 Year'!M19</f>
        <v>130</v>
      </c>
      <c r="R46" s="636">
        <f>+'Geographic Diversity 5 Year'!N19</f>
        <v>190</v>
      </c>
      <c r="S46" s="636"/>
    </row>
    <row r="47" spans="1:19">
      <c r="A47">
        <v>44</v>
      </c>
      <c r="B47" s="633" t="str">
        <f>+'Campus Selector'!$G$3</f>
        <v>Canton</v>
      </c>
      <c r="C47" s="634" t="s">
        <v>681</v>
      </c>
      <c r="D47" s="633" t="s">
        <v>249</v>
      </c>
      <c r="E47" s="633">
        <v>3</v>
      </c>
      <c r="H47" s="633">
        <f>+'Geographic Diversity 5 Year'!B21</f>
        <v>431</v>
      </c>
      <c r="I47" s="633" t="str">
        <f>+'Geographic Diversity 5 Year'!C21</f>
        <v>07.431.25</v>
      </c>
      <c r="J47" s="633" t="str">
        <f>+'Geographic Diversity 5 Year'!E21</f>
        <v>International</v>
      </c>
      <c r="K47" s="656">
        <f>+'Geographic Diversity 5 Year'!K21</f>
        <v>55</v>
      </c>
      <c r="L47" s="636">
        <f>+'Geographic Diversity 5 Year'!K21</f>
        <v>55</v>
      </c>
      <c r="M47" s="636"/>
      <c r="N47" s="636"/>
      <c r="O47" s="636"/>
      <c r="P47" s="636"/>
      <c r="Q47" s="636">
        <f>+'Geographic Diversity 5 Year'!M21</f>
        <v>86</v>
      </c>
      <c r="R47" s="636">
        <f>+'Geographic Diversity 5 Year'!N21</f>
        <v>114</v>
      </c>
      <c r="S47" s="636"/>
    </row>
    <row r="48" spans="1:19">
      <c r="A48">
        <v>45</v>
      </c>
      <c r="B48" s="633" t="str">
        <f>+'Campus Selector'!$G$3</f>
        <v>Canton</v>
      </c>
      <c r="C48" s="634" t="s">
        <v>681</v>
      </c>
      <c r="D48" s="633" t="s">
        <v>249</v>
      </c>
      <c r="E48" s="633">
        <v>4</v>
      </c>
      <c r="H48" s="633">
        <f>+'Geographic Diversity 5 Year'!B25</f>
        <v>432</v>
      </c>
      <c r="I48" s="633" t="str">
        <f>+'Geographic Diversity 5 Year'!C25</f>
        <v>07.432.25</v>
      </c>
      <c r="J48" s="633" t="str">
        <f>+'Geographic Diversity 5 Year'!E25</f>
        <v xml:space="preserve">New York State </v>
      </c>
      <c r="K48" s="656">
        <f>+'Geographic Diversity 5 Year'!K25</f>
        <v>0</v>
      </c>
      <c r="L48" s="636">
        <f>+'Geographic Diversity 5 Year'!K25</f>
        <v>0</v>
      </c>
      <c r="M48" s="636"/>
      <c r="N48" s="636"/>
      <c r="O48" s="636"/>
      <c r="P48" s="636"/>
      <c r="Q48" s="636">
        <f>+'Geographic Diversity 5 Year'!M25</f>
        <v>0</v>
      </c>
      <c r="R48" s="636">
        <f>+'Geographic Diversity 5 Year'!N25</f>
        <v>0</v>
      </c>
      <c r="S48" s="636"/>
    </row>
    <row r="49" spans="1:19">
      <c r="A49">
        <v>46</v>
      </c>
      <c r="B49" s="633" t="str">
        <f>+'Campus Selector'!$G$3</f>
        <v>Canton</v>
      </c>
      <c r="C49" s="634" t="s">
        <v>681</v>
      </c>
      <c r="D49" s="633" t="s">
        <v>249</v>
      </c>
      <c r="E49" s="633">
        <v>5</v>
      </c>
      <c r="H49" s="633">
        <f>+'Geographic Diversity 5 Year'!B27</f>
        <v>433</v>
      </c>
      <c r="I49" s="633" t="str">
        <f>+'Geographic Diversity 5 Year'!C27</f>
        <v>07.433.25</v>
      </c>
      <c r="J49" s="633" t="str">
        <f>+'Geographic Diversity 5 Year'!E27</f>
        <v>U.S. Non New York</v>
      </c>
      <c r="K49" s="656">
        <f>+'Geographic Diversity 5 Year'!K27</f>
        <v>0</v>
      </c>
      <c r="L49" s="636">
        <f>+'Geographic Diversity 5 Year'!K27</f>
        <v>0</v>
      </c>
      <c r="M49" s="636"/>
      <c r="N49" s="636"/>
      <c r="O49" s="636"/>
      <c r="P49" s="636"/>
      <c r="Q49" s="636">
        <f>+'Geographic Diversity 5 Year'!M27</f>
        <v>0</v>
      </c>
      <c r="R49" s="636">
        <f>+'Geographic Diversity 5 Year'!N27</f>
        <v>0</v>
      </c>
      <c r="S49" s="636"/>
    </row>
    <row r="50" spans="1:19">
      <c r="A50">
        <v>47</v>
      </c>
      <c r="B50" s="633" t="str">
        <f>+'Campus Selector'!$G$3</f>
        <v>Canton</v>
      </c>
      <c r="C50" s="634" t="s">
        <v>681</v>
      </c>
      <c r="D50" s="633" t="s">
        <v>249</v>
      </c>
      <c r="E50" s="633">
        <v>6</v>
      </c>
      <c r="H50" s="633">
        <f>+'Geographic Diversity 5 Year'!B29</f>
        <v>434</v>
      </c>
      <c r="I50" s="633" t="str">
        <f>+'Geographic Diversity 5 Year'!C29</f>
        <v>07.434.25</v>
      </c>
      <c r="J50" s="633" t="str">
        <f>+'Geographic Diversity 5 Year'!E29</f>
        <v>International</v>
      </c>
      <c r="K50" s="656">
        <f>+'Geographic Diversity 5 Year'!K29</f>
        <v>0</v>
      </c>
      <c r="L50" s="636">
        <f>+'Geographic Diversity 5 Year'!K29</f>
        <v>0</v>
      </c>
      <c r="M50" s="636"/>
      <c r="N50" s="636"/>
      <c r="O50" s="636"/>
      <c r="P50" s="636"/>
      <c r="Q50" s="636">
        <f>+'Geographic Diversity 5 Year'!M29</f>
        <v>0</v>
      </c>
      <c r="R50" s="636">
        <f>+'Geographic Diversity 5 Year'!N29</f>
        <v>0</v>
      </c>
      <c r="S50" s="636"/>
    </row>
    <row r="51" spans="1:19">
      <c r="A51">
        <v>48</v>
      </c>
      <c r="L51" s="636"/>
      <c r="M51" s="636"/>
      <c r="N51" s="636"/>
      <c r="O51" s="636"/>
      <c r="P51" s="636"/>
      <c r="Q51" s="636"/>
      <c r="R51" s="636"/>
      <c r="S51" s="636"/>
    </row>
    <row r="52" spans="1:19">
      <c r="B52" s="633" t="str">
        <f>+'Campus Selector'!$G$3</f>
        <v>Canton</v>
      </c>
      <c r="C52" s="634" t="s">
        <v>682</v>
      </c>
      <c r="D52" s="633" t="s">
        <v>269</v>
      </c>
      <c r="E52" s="633">
        <v>1</v>
      </c>
      <c r="F52" s="633">
        <v>124</v>
      </c>
      <c r="G52" s="633" t="b">
        <f>+F52=H52</f>
        <v>1</v>
      </c>
      <c r="H52" s="633">
        <f>+'Student Diversity 5 Year'!B11</f>
        <v>124</v>
      </c>
      <c r="I52" s="633" t="str">
        <f>+'Student Diversity 5 Year'!C11</f>
        <v>08.124.25</v>
      </c>
      <c r="J52" s="633" t="str">
        <f>+'Student Diversity 5 Year'!E11</f>
        <v>White Non-Hispanic</v>
      </c>
      <c r="K52" s="656">
        <f>+'Student Diversity 5 Year'!K11</f>
        <v>2250</v>
      </c>
      <c r="L52" s="636">
        <f>+'Student Diversity 5 Year'!K10</f>
        <v>3282</v>
      </c>
      <c r="M52" s="636"/>
      <c r="N52" s="636"/>
      <c r="O52" s="636"/>
      <c r="P52" s="636"/>
      <c r="Q52" s="636" t="str">
        <f>+'Student Diversity 5 Year'!M10</f>
        <v>Data provided for reference only.  
No goals requested.</v>
      </c>
      <c r="R52" s="636">
        <f>+'Student Diversity 5 Year'!N10</f>
        <v>0</v>
      </c>
      <c r="S52" s="636"/>
    </row>
    <row r="53" spans="1:19">
      <c r="A53">
        <v>49</v>
      </c>
      <c r="B53" s="633" t="str">
        <f>+'Campus Selector'!$G$3</f>
        <v>Canton</v>
      </c>
      <c r="C53" s="634" t="s">
        <v>682</v>
      </c>
      <c r="D53" s="633" t="s">
        <v>269</v>
      </c>
      <c r="E53" s="633">
        <v>3</v>
      </c>
      <c r="F53" s="633">
        <v>125</v>
      </c>
      <c r="G53" s="633" t="b">
        <f t="shared" ref="G53:G95" si="0">+F53=H53</f>
        <v>1</v>
      </c>
      <c r="H53" s="633">
        <f>+'Student Diversity 5 Year'!B13</f>
        <v>125</v>
      </c>
      <c r="I53" s="633" t="str">
        <f>+'Student Diversity 5 Year'!C13</f>
        <v>08.125.25</v>
      </c>
      <c r="J53" s="633" t="str">
        <f>+'Student Diversity 5 Year'!E13</f>
        <v>Black Non-Hispanic</v>
      </c>
      <c r="K53" s="656">
        <f>+'Student Diversity 5 Year'!K13</f>
        <v>442</v>
      </c>
      <c r="L53" s="636">
        <f>+'Student Diversity 5 Year'!K12</f>
        <v>869</v>
      </c>
      <c r="M53" s="636"/>
      <c r="N53" s="636"/>
      <c r="O53" s="636"/>
      <c r="P53" s="636"/>
      <c r="Q53" s="636">
        <f>+'Student Diversity 5 Year'!M12</f>
        <v>0</v>
      </c>
      <c r="R53" s="636">
        <f>+'Student Diversity 5 Year'!N12</f>
        <v>0</v>
      </c>
      <c r="S53" s="636"/>
    </row>
    <row r="54" spans="1:19">
      <c r="A54">
        <v>50</v>
      </c>
      <c r="B54" s="633" t="str">
        <f>+'Campus Selector'!$G$3</f>
        <v>Canton</v>
      </c>
      <c r="C54" s="634" t="s">
        <v>682</v>
      </c>
      <c r="D54" s="633" t="s">
        <v>269</v>
      </c>
      <c r="E54" s="633">
        <v>4</v>
      </c>
      <c r="F54" s="633">
        <v>126</v>
      </c>
      <c r="G54" s="633" t="b">
        <f t="shared" si="0"/>
        <v>1</v>
      </c>
      <c r="H54" s="633">
        <f>+'Student Diversity 5 Year'!B14</f>
        <v>126</v>
      </c>
      <c r="I54" s="633" t="str">
        <f>+'Student Diversity 5 Year'!C14</f>
        <v>08.126.25</v>
      </c>
      <c r="J54" s="633" t="str">
        <f>+'Student Diversity 5 Year'!E14</f>
        <v>Hispanic</v>
      </c>
      <c r="K54" s="656">
        <f>+'Student Diversity 5 Year'!K14</f>
        <v>286</v>
      </c>
      <c r="L54" s="636">
        <f>+'Student Diversity 5 Year'!K13</f>
        <v>442</v>
      </c>
      <c r="M54" s="636"/>
      <c r="N54" s="636"/>
      <c r="O54" s="636"/>
      <c r="P54" s="636"/>
      <c r="Q54" s="636">
        <f>+'Student Diversity 5 Year'!M13</f>
        <v>0</v>
      </c>
      <c r="R54" s="636">
        <f>+'Student Diversity 5 Year'!N13</f>
        <v>0</v>
      </c>
      <c r="S54" s="636"/>
    </row>
    <row r="55" spans="1:19">
      <c r="A55">
        <v>51</v>
      </c>
      <c r="B55" s="633" t="str">
        <f>+'Campus Selector'!$G$3</f>
        <v>Canton</v>
      </c>
      <c r="C55" s="634" t="s">
        <v>682</v>
      </c>
      <c r="D55" s="633" t="s">
        <v>269</v>
      </c>
      <c r="E55" s="633">
        <v>5</v>
      </c>
      <c r="F55" s="633">
        <v>127</v>
      </c>
      <c r="G55" s="633" t="b">
        <f t="shared" si="0"/>
        <v>1</v>
      </c>
      <c r="H55" s="633">
        <f>+'Student Diversity 5 Year'!B15</f>
        <v>127</v>
      </c>
      <c r="I55" s="633" t="str">
        <f>+'Student Diversity 5 Year'!C15</f>
        <v>08.127.25</v>
      </c>
      <c r="J55" s="633" t="str">
        <f>+'Student Diversity 5 Year'!E15</f>
        <v>Asian/Pacific Islander</v>
      </c>
      <c r="K55" s="656">
        <f>+'Student Diversity 5 Year'!K15</f>
        <v>37</v>
      </c>
      <c r="L55" s="636">
        <f>+'Student Diversity 5 Year'!K14</f>
        <v>286</v>
      </c>
      <c r="M55" s="636"/>
      <c r="N55" s="636"/>
      <c r="O55" s="636"/>
      <c r="P55" s="636"/>
      <c r="Q55" s="636">
        <f>+'Student Diversity 5 Year'!M14</f>
        <v>0</v>
      </c>
      <c r="R55" s="636">
        <f>+'Student Diversity 5 Year'!N14</f>
        <v>0</v>
      </c>
      <c r="S55" s="636"/>
    </row>
    <row r="56" spans="1:19">
      <c r="A56">
        <v>52</v>
      </c>
      <c r="B56" s="633" t="str">
        <f>+'Campus Selector'!$G$3</f>
        <v>Canton</v>
      </c>
      <c r="C56" s="634" t="s">
        <v>682</v>
      </c>
      <c r="D56" s="633" t="s">
        <v>269</v>
      </c>
      <c r="E56" s="633">
        <v>6</v>
      </c>
      <c r="F56" s="633">
        <v>128</v>
      </c>
      <c r="G56" s="633" t="b">
        <f t="shared" si="0"/>
        <v>1</v>
      </c>
      <c r="H56" s="633">
        <f>+'Student Diversity 5 Year'!B16</f>
        <v>128</v>
      </c>
      <c r="I56" s="633" t="str">
        <f>+'Student Diversity 5 Year'!C16</f>
        <v>08.128.25</v>
      </c>
      <c r="J56" s="633" t="str">
        <f>+'Student Diversity 5 Year'!E16</f>
        <v>Native American/Alaskan</v>
      </c>
      <c r="K56" s="656">
        <f>+'Student Diversity 5 Year'!K16</f>
        <v>49</v>
      </c>
      <c r="L56" s="636">
        <f>+'Student Diversity 5 Year'!K15</f>
        <v>37</v>
      </c>
      <c r="M56" s="636"/>
      <c r="N56" s="636"/>
      <c r="O56" s="636"/>
      <c r="P56" s="636"/>
      <c r="Q56" s="636">
        <f>+'Student Diversity 5 Year'!M15</f>
        <v>0</v>
      </c>
      <c r="R56" s="636">
        <f>+'Student Diversity 5 Year'!N15</f>
        <v>0</v>
      </c>
      <c r="S56" s="636"/>
    </row>
    <row r="57" spans="1:19">
      <c r="A57">
        <v>53</v>
      </c>
      <c r="B57" s="633" t="str">
        <f>+'Campus Selector'!$G$3</f>
        <v>Canton</v>
      </c>
      <c r="C57" s="634" t="s">
        <v>682</v>
      </c>
      <c r="D57" s="633" t="s">
        <v>269</v>
      </c>
      <c r="E57" s="633">
        <v>7</v>
      </c>
      <c r="F57" s="633">
        <v>129</v>
      </c>
      <c r="G57" s="633" t="b">
        <f t="shared" si="0"/>
        <v>1</v>
      </c>
      <c r="H57" s="633">
        <f>+'Student Diversity 5 Year'!B17</f>
        <v>129</v>
      </c>
      <c r="I57" s="633" t="str">
        <f>+'Student Diversity 5 Year'!C17</f>
        <v>08.129.25</v>
      </c>
      <c r="J57" s="633" t="str">
        <f>+'Student Diversity 5 Year'!E17</f>
        <v>Two or More Races</v>
      </c>
      <c r="K57" s="656">
        <f>+'Student Diversity 5 Year'!K17</f>
        <v>55</v>
      </c>
      <c r="L57" s="636">
        <f>+'Student Diversity 5 Year'!K16</f>
        <v>49</v>
      </c>
      <c r="M57" s="636"/>
      <c r="N57" s="636"/>
      <c r="O57" s="636"/>
      <c r="P57" s="636"/>
      <c r="Q57" s="636">
        <f>+'Student Diversity 5 Year'!M16</f>
        <v>0</v>
      </c>
      <c r="R57" s="636">
        <f>+'Student Diversity 5 Year'!N16</f>
        <v>0</v>
      </c>
      <c r="S57" s="636"/>
    </row>
    <row r="58" spans="1:19">
      <c r="A58">
        <v>54</v>
      </c>
      <c r="B58" s="633" t="str">
        <f>+'Campus Selector'!$G$3</f>
        <v>Canton</v>
      </c>
      <c r="C58" s="634" t="s">
        <v>682</v>
      </c>
      <c r="D58" s="633" t="s">
        <v>269</v>
      </c>
      <c r="E58" s="633">
        <v>9</v>
      </c>
      <c r="F58" s="633">
        <v>130</v>
      </c>
      <c r="G58" s="633" t="b">
        <f t="shared" si="0"/>
        <v>1</v>
      </c>
      <c r="H58" s="633">
        <f>+'Student Diversity 5 Year'!B19</f>
        <v>130</v>
      </c>
      <c r="I58" s="633" t="str">
        <f>+'Student Diversity 5 Year'!C19</f>
        <v>08.130.25</v>
      </c>
      <c r="J58" s="633" t="str">
        <f>+'Student Diversity 5 Year'!E19</f>
        <v>Non-Resident Alien</v>
      </c>
      <c r="K58" s="656">
        <f>+'Student Diversity 5 Year'!K19</f>
        <v>55</v>
      </c>
      <c r="L58" s="636">
        <f>+'Student Diversity 5 Year'!K18</f>
        <v>832</v>
      </c>
      <c r="M58" s="636"/>
      <c r="N58" s="636"/>
      <c r="O58" s="636"/>
      <c r="P58" s="636"/>
      <c r="Q58" s="636">
        <f>+'Student Diversity 5 Year'!M18</f>
        <v>0</v>
      </c>
      <c r="R58" s="636">
        <f>+'Student Diversity 5 Year'!N18</f>
        <v>0</v>
      </c>
      <c r="S58" s="636"/>
    </row>
    <row r="59" spans="1:19">
      <c r="A59">
        <v>55</v>
      </c>
      <c r="B59" s="633" t="str">
        <f>+'Campus Selector'!$G$3</f>
        <v>Canton</v>
      </c>
      <c r="C59" s="634" t="s">
        <v>682</v>
      </c>
      <c r="D59" s="633" t="s">
        <v>269</v>
      </c>
      <c r="E59" s="633">
        <v>10</v>
      </c>
      <c r="F59" s="633">
        <v>131</v>
      </c>
      <c r="G59" s="633" t="b">
        <f t="shared" si="0"/>
        <v>1</v>
      </c>
      <c r="H59" s="633">
        <f>+'Student Diversity 5 Year'!B20</f>
        <v>131</v>
      </c>
      <c r="I59" s="633" t="str">
        <f>+'Student Diversity 5 Year'!C20</f>
        <v>08.131.25</v>
      </c>
      <c r="J59" s="633" t="str">
        <f>+'Student Diversity 5 Year'!E20</f>
        <v>Unknown</v>
      </c>
      <c r="K59" s="656">
        <f>+'Student Diversity 5 Year'!K20</f>
        <v>108</v>
      </c>
      <c r="L59" s="636">
        <f>+'Student Diversity 5 Year'!K19</f>
        <v>55</v>
      </c>
      <c r="M59" s="636"/>
      <c r="N59" s="636"/>
      <c r="O59" s="636"/>
      <c r="P59" s="636"/>
      <c r="Q59" s="636">
        <f>+'Student Diversity 5 Year'!M19</f>
        <v>0</v>
      </c>
      <c r="R59" s="636">
        <f>+'Student Diversity 5 Year'!N19</f>
        <v>0</v>
      </c>
      <c r="S59" s="636"/>
    </row>
    <row r="60" spans="1:19">
      <c r="A60">
        <v>56</v>
      </c>
      <c r="B60" s="633" t="str">
        <f>+'Campus Selector'!$G$3</f>
        <v>Canton</v>
      </c>
      <c r="C60" s="634" t="s">
        <v>682</v>
      </c>
      <c r="D60" s="633" t="s">
        <v>269</v>
      </c>
      <c r="E60" s="633">
        <v>13</v>
      </c>
      <c r="F60" s="633">
        <v>415</v>
      </c>
      <c r="G60" s="633" t="b">
        <f t="shared" si="0"/>
        <v>1</v>
      </c>
      <c r="H60" s="633">
        <f>+'Student Diversity 5 Year'!B23</f>
        <v>415</v>
      </c>
      <c r="I60" s="633" t="str">
        <f>+'Student Diversity 5 Year'!C23</f>
        <v>08.415.90</v>
      </c>
      <c r="J60" s="633" t="str">
        <f>+'Student Diversity 5 Year'!E23</f>
        <v>Sector % All Minorities</v>
      </c>
      <c r="K60" s="633">
        <f>+'Student Diversity 5 Year'!K23</f>
        <v>0.28803911830996676</v>
      </c>
      <c r="L60" s="636">
        <f>+'Student Diversity 5 Year'!K22</f>
        <v>0.26477757464960389</v>
      </c>
      <c r="M60" s="636"/>
      <c r="N60" s="636"/>
      <c r="O60" s="636"/>
      <c r="P60" s="636"/>
      <c r="Q60" s="636">
        <f>+'Student Diversity 5 Year'!M22</f>
        <v>0</v>
      </c>
      <c r="R60" s="636">
        <f>+'Student Diversity 5 Year'!N22</f>
        <v>0</v>
      </c>
      <c r="S60" s="636"/>
    </row>
    <row r="61" spans="1:19">
      <c r="A61">
        <v>57</v>
      </c>
      <c r="B61" s="633" t="str">
        <f>+'Campus Selector'!$G$3</f>
        <v>Canton</v>
      </c>
      <c r="C61" s="634" t="s">
        <v>682</v>
      </c>
      <c r="D61" s="633" t="s">
        <v>269</v>
      </c>
      <c r="E61" s="633">
        <v>16</v>
      </c>
      <c r="F61" s="633">
        <v>414</v>
      </c>
      <c r="G61" s="633" t="b">
        <f t="shared" si="0"/>
        <v>1</v>
      </c>
      <c r="H61" s="633">
        <f>+'Student Diversity 5 Year'!B26</f>
        <v>414</v>
      </c>
      <c r="I61" s="633" t="str">
        <f>+'Student Diversity 5 Year'!C26</f>
        <v>08.414.90</v>
      </c>
      <c r="J61" s="633" t="str">
        <f>+'Student Diversity 5 Year'!E26</f>
        <v>Sector % Underrepresented Minorities</v>
      </c>
      <c r="K61" s="633">
        <f>+'Student Diversity 5 Year'!K26</f>
        <v>0.25201512778393248</v>
      </c>
      <c r="L61" s="636">
        <f>+'Student Diversity 5 Year'!K25</f>
        <v>0.2535039609993906</v>
      </c>
      <c r="M61" s="636"/>
      <c r="N61" s="636"/>
      <c r="O61" s="636"/>
      <c r="P61" s="636"/>
      <c r="Q61" s="636">
        <f>+'Student Diversity 5 Year'!M25</f>
        <v>0</v>
      </c>
      <c r="R61" s="636">
        <f>+'Student Diversity 5 Year'!N25</f>
        <v>0</v>
      </c>
      <c r="S61" s="636"/>
    </row>
    <row r="62" spans="1:19">
      <c r="A62">
        <v>58</v>
      </c>
      <c r="B62" s="633" t="str">
        <f>+'Campus Selector'!$G$3</f>
        <v>Canton</v>
      </c>
      <c r="C62" s="634" t="s">
        <v>682</v>
      </c>
      <c r="D62" s="633" t="s">
        <v>269</v>
      </c>
      <c r="E62" s="633">
        <v>20</v>
      </c>
      <c r="F62" s="633">
        <v>132</v>
      </c>
      <c r="G62" s="633" t="b">
        <f t="shared" si="0"/>
        <v>1</v>
      </c>
      <c r="H62" s="633">
        <f>+'Student Diversity 5 Year'!B30</f>
        <v>132</v>
      </c>
      <c r="I62" s="633" t="str">
        <f>+'Student Diversity 5 Year'!C30</f>
        <v>08.132.25</v>
      </c>
      <c r="J62" s="633" t="str">
        <f>+'Student Diversity 5 Year'!E30</f>
        <v>Male</v>
      </c>
      <c r="K62" s="656">
        <f>+'Student Diversity 5 Year'!K30</f>
        <v>1464</v>
      </c>
      <c r="L62" s="636">
        <f>+'Student Diversity 5 Year'!K29</f>
        <v>3282</v>
      </c>
      <c r="M62" s="636"/>
      <c r="N62" s="636"/>
      <c r="O62" s="636"/>
      <c r="P62" s="636"/>
      <c r="Q62" s="636">
        <f>+'Student Diversity 5 Year'!M29</f>
        <v>3600</v>
      </c>
      <c r="R62" s="636">
        <f>+'Student Diversity 5 Year'!N29</f>
        <v>3800</v>
      </c>
      <c r="S62" s="636"/>
    </row>
    <row r="63" spans="1:19">
      <c r="A63">
        <v>59</v>
      </c>
      <c r="B63" s="633" t="str">
        <f>+'Campus Selector'!$G$3</f>
        <v>Canton</v>
      </c>
      <c r="C63" s="634" t="s">
        <v>682</v>
      </c>
      <c r="D63" s="633" t="s">
        <v>269</v>
      </c>
      <c r="E63" s="633">
        <v>21</v>
      </c>
      <c r="F63" s="633">
        <v>133</v>
      </c>
      <c r="G63" s="633" t="b">
        <f t="shared" si="0"/>
        <v>1</v>
      </c>
      <c r="H63" s="633">
        <f>+'Student Diversity 5 Year'!B31</f>
        <v>133</v>
      </c>
      <c r="I63" s="633" t="str">
        <f>+'Student Diversity 5 Year'!C31</f>
        <v>08.133.25</v>
      </c>
      <c r="J63" s="633" t="str">
        <f>+'Student Diversity 5 Year'!E31</f>
        <v>Female</v>
      </c>
      <c r="K63" s="656">
        <f>+'Student Diversity 5 Year'!K31</f>
        <v>1818</v>
      </c>
      <c r="L63" s="636">
        <f>+'Student Diversity 5 Year'!K30</f>
        <v>1464</v>
      </c>
      <c r="M63" s="636"/>
      <c r="N63" s="636"/>
      <c r="O63" s="636"/>
      <c r="P63" s="636"/>
      <c r="Q63" s="636">
        <f>+'Student Diversity 5 Year'!M30</f>
        <v>1656</v>
      </c>
      <c r="R63" s="636">
        <f>+'Student Diversity 5 Year'!N30</f>
        <v>1786</v>
      </c>
      <c r="S63" s="636"/>
    </row>
    <row r="64" spans="1:19">
      <c r="A64">
        <v>60</v>
      </c>
      <c r="B64" s="633" t="str">
        <f>+'Campus Selector'!$G$3</f>
        <v>Canton</v>
      </c>
      <c r="C64" s="634" t="s">
        <v>682</v>
      </c>
      <c r="D64" s="633" t="s">
        <v>269</v>
      </c>
      <c r="E64" s="633">
        <v>24</v>
      </c>
      <c r="F64" s="633">
        <v>305</v>
      </c>
      <c r="G64" s="633" t="b">
        <f t="shared" si="0"/>
        <v>1</v>
      </c>
      <c r="H64" s="633">
        <f>+'Student Diversity 5 Year'!B34</f>
        <v>305</v>
      </c>
      <c r="I64" s="633" t="str">
        <f>+'Student Diversity 5 Year'!C34</f>
        <v>08.305.90</v>
      </c>
      <c r="J64" s="633" t="str">
        <f>+'Student Diversity 5 Year'!E34</f>
        <v>Sector % Male</v>
      </c>
      <c r="K64" s="633">
        <f>+'Student Diversity 5 Year'!K34</f>
        <v>0.56371949024407808</v>
      </c>
      <c r="L64" s="636">
        <f>+'Student Diversity 5 Year'!K33</f>
        <v>0.44606946983546619</v>
      </c>
      <c r="M64" s="636"/>
      <c r="N64" s="636"/>
      <c r="O64" s="636"/>
      <c r="P64" s="636"/>
      <c r="Q64" s="636">
        <f>+'Student Diversity 5 Year'!M33</f>
        <v>0.46</v>
      </c>
      <c r="R64" s="636">
        <f>+'Student Diversity 5 Year'!N33</f>
        <v>0.47</v>
      </c>
      <c r="S64" s="636"/>
    </row>
    <row r="65" spans="1:19">
      <c r="A65">
        <v>61</v>
      </c>
      <c r="B65" s="633" t="str">
        <f>+'Campus Selector'!$G$3</f>
        <v>Canton</v>
      </c>
      <c r="C65" s="634" t="s">
        <v>682</v>
      </c>
      <c r="D65" s="633" t="s">
        <v>269</v>
      </c>
      <c r="E65" s="633">
        <v>27</v>
      </c>
      <c r="F65" s="633">
        <v>306</v>
      </c>
      <c r="G65" s="633" t="b">
        <f t="shared" si="0"/>
        <v>1</v>
      </c>
      <c r="H65" s="633">
        <f>+'Student Diversity 5 Year'!B37</f>
        <v>306</v>
      </c>
      <c r="I65" s="633" t="str">
        <f>+'Student Diversity 5 Year'!C37</f>
        <v>08.306.90</v>
      </c>
      <c r="J65" s="633" t="str">
        <f>+'Student Diversity 5 Year'!E37</f>
        <v>Sector % Female</v>
      </c>
      <c r="K65" s="633">
        <f>+'Student Diversity 5 Year'!K37</f>
        <v>0.43628050975592197</v>
      </c>
      <c r="L65" s="636">
        <f>+'Student Diversity 5 Year'!K36</f>
        <v>0.55393053016453386</v>
      </c>
      <c r="M65" s="636"/>
      <c r="N65" s="636"/>
      <c r="O65" s="636"/>
      <c r="P65" s="636"/>
      <c r="Q65" s="636">
        <f>+'Student Diversity 5 Year'!M36</f>
        <v>0.54</v>
      </c>
      <c r="R65" s="636">
        <f>+'Student Diversity 5 Year'!N36</f>
        <v>0.53</v>
      </c>
      <c r="S65" s="636"/>
    </row>
    <row r="66" spans="1:19">
      <c r="A66">
        <v>62</v>
      </c>
      <c r="B66" s="633" t="str">
        <f>+'Campus Selector'!$G$3</f>
        <v>Canton</v>
      </c>
      <c r="C66" s="634" t="s">
        <v>682</v>
      </c>
      <c r="D66" s="633" t="s">
        <v>269</v>
      </c>
      <c r="E66" s="633">
        <v>30</v>
      </c>
      <c r="F66" s="633">
        <v>309</v>
      </c>
      <c r="G66" s="633" t="b">
        <f t="shared" si="0"/>
        <v>1</v>
      </c>
      <c r="H66" s="633">
        <f>+'Student Diversity 5 Year'!B40</f>
        <v>309</v>
      </c>
      <c r="I66" s="633" t="str">
        <f>+'Student Diversity 5 Year'!C40</f>
        <v>08.309.25</v>
      </c>
      <c r="J66" s="633" t="str">
        <f>+'Student Diversity 5 Year'!E40</f>
        <v>Students Eligible to Apply for Pell</v>
      </c>
      <c r="K66" s="656">
        <f>+'Student Diversity 5 Year'!K40</f>
        <v>3093</v>
      </c>
      <c r="L66" s="636">
        <f>+'Student Diversity 5 Year'!K39</f>
        <v>0</v>
      </c>
      <c r="M66" s="636"/>
      <c r="N66" s="636"/>
      <c r="O66" s="636"/>
      <c r="P66" s="636"/>
      <c r="Q66" s="636">
        <f>+'Student Diversity 5 Year'!M39</f>
        <v>0</v>
      </c>
      <c r="R66" s="636">
        <f>+'Student Diversity 5 Year'!N39</f>
        <v>0</v>
      </c>
      <c r="S66" s="636"/>
    </row>
    <row r="67" spans="1:19">
      <c r="A67">
        <v>63</v>
      </c>
      <c r="B67" s="633" t="str">
        <f>+'Campus Selector'!$G$3</f>
        <v>Canton</v>
      </c>
      <c r="C67" s="634" t="s">
        <v>682</v>
      </c>
      <c r="D67" s="633" t="s">
        <v>269</v>
      </c>
      <c r="E67" s="633">
        <v>31</v>
      </c>
      <c r="F67" s="633">
        <v>308</v>
      </c>
      <c r="G67" s="633" t="b">
        <f t="shared" si="0"/>
        <v>1</v>
      </c>
      <c r="H67" s="633">
        <f>+'Student Diversity 5 Year'!B41</f>
        <v>308</v>
      </c>
      <c r="I67" s="633" t="str">
        <f>+'Student Diversity 5 Year'!C41</f>
        <v>08.308.25</v>
      </c>
      <c r="J67" s="633" t="str">
        <f>+'Student Diversity 5 Year'!E41</f>
        <v>Students Receiving Pell</v>
      </c>
      <c r="K67" s="656">
        <f>+'Student Diversity 5 Year'!K41</f>
        <v>1799</v>
      </c>
      <c r="L67" s="636">
        <f>+'Student Diversity 5 Year'!K40</f>
        <v>3093</v>
      </c>
      <c r="M67" s="636"/>
      <c r="N67" s="636"/>
      <c r="O67" s="636"/>
      <c r="P67" s="636"/>
      <c r="Q67" s="636">
        <f>+'Student Diversity 5 Year'!M40</f>
        <v>3400</v>
      </c>
      <c r="R67" s="636">
        <f>+'Student Diversity 5 Year'!N40</f>
        <v>3580</v>
      </c>
      <c r="S67" s="636"/>
    </row>
    <row r="68" spans="1:19">
      <c r="A68">
        <v>64</v>
      </c>
      <c r="B68" s="633" t="str">
        <f>+'Campus Selector'!$G$3</f>
        <v>Canton</v>
      </c>
      <c r="C68" s="634" t="s">
        <v>682</v>
      </c>
      <c r="D68" s="633" t="s">
        <v>269</v>
      </c>
      <c r="E68" s="633">
        <v>34</v>
      </c>
      <c r="F68" s="633">
        <v>325</v>
      </c>
      <c r="G68" s="633" t="b">
        <f t="shared" si="0"/>
        <v>1</v>
      </c>
      <c r="H68" s="633">
        <f>+'Student Diversity 5 Year'!B44</f>
        <v>325</v>
      </c>
      <c r="I68" s="633" t="str">
        <f>+'Student Diversity 5 Year'!C44</f>
        <v>08.325.90</v>
      </c>
      <c r="J68" s="633" t="str">
        <f>+'Student Diversity 5 Year'!E44</f>
        <v>Sector % Students Receiving Pell</v>
      </c>
      <c r="K68" s="633">
        <f>+'Student Diversity 5 Year'!K44</f>
        <v>0.48121351640220339</v>
      </c>
      <c r="L68" s="636">
        <f>+'Student Diversity 5 Year'!K43</f>
        <v>0.58163595215001618</v>
      </c>
      <c r="M68" s="636"/>
      <c r="N68" s="636"/>
      <c r="O68" s="636"/>
      <c r="P68" s="636"/>
      <c r="Q68" s="636">
        <f>+'Student Diversity 5 Year'!M43</f>
        <v>0.6</v>
      </c>
      <c r="R68" s="636">
        <f>+'Student Diversity 5 Year'!N43</f>
        <v>0.6</v>
      </c>
      <c r="S68" s="636"/>
    </row>
    <row r="69" spans="1:19">
      <c r="A69">
        <v>65</v>
      </c>
      <c r="B69" s="633" t="str">
        <f>+'Campus Selector'!$G$3</f>
        <v>Canton</v>
      </c>
      <c r="C69" s="634" t="s">
        <v>682</v>
      </c>
      <c r="D69" s="633" t="s">
        <v>269</v>
      </c>
      <c r="E69" s="633">
        <v>37</v>
      </c>
      <c r="F69" s="633">
        <v>123</v>
      </c>
      <c r="G69" s="633" t="b">
        <f t="shared" si="0"/>
        <v>1</v>
      </c>
      <c r="H69" s="633">
        <f>+'Student Diversity 5 Year'!B47</f>
        <v>123</v>
      </c>
      <c r="I69" s="633" t="str">
        <f>+'Student Diversity 5 Year'!C47</f>
        <v>08.123.25</v>
      </c>
      <c r="J69" s="633" t="str">
        <f>+'Student Diversity 5 Year'!E47</f>
        <v>EOP Enrollment</v>
      </c>
      <c r="K69" s="656">
        <f>+'Student Diversity 5 Year'!K47</f>
        <v>231</v>
      </c>
      <c r="L69" s="656">
        <f>+'Student Diversity 5 Year'!K47</f>
        <v>231</v>
      </c>
      <c r="M69" s="636"/>
      <c r="N69" s="636"/>
      <c r="O69" s="636"/>
      <c r="P69" s="636" t="str">
        <f>+'Student Diversity 5 Year'!L47</f>
        <v>-</v>
      </c>
      <c r="Q69" s="636">
        <f>+'Student Diversity 5 Year'!M47</f>
        <v>245</v>
      </c>
      <c r="R69" s="636">
        <f>+'Student Diversity 5 Year'!N47</f>
        <v>245</v>
      </c>
      <c r="S69" s="636"/>
    </row>
    <row r="70" spans="1:19">
      <c r="A70">
        <v>66</v>
      </c>
      <c r="C70" s="634"/>
      <c r="L70" s="635"/>
      <c r="M70" s="635"/>
      <c r="N70" s="635"/>
      <c r="O70" s="635"/>
      <c r="P70" s="635"/>
      <c r="Q70" s="635"/>
      <c r="R70" s="635"/>
      <c r="S70" s="635"/>
    </row>
    <row r="71" spans="1:19">
      <c r="A71">
        <v>67</v>
      </c>
      <c r="B71" s="633" t="str">
        <f>+'Campus Selector'!$G$3</f>
        <v>Canton</v>
      </c>
      <c r="C71" s="634" t="s">
        <v>683</v>
      </c>
      <c r="D71" s="633" t="s">
        <v>247</v>
      </c>
      <c r="E71" s="633">
        <v>1</v>
      </c>
      <c r="F71" s="633">
        <v>22</v>
      </c>
      <c r="G71" s="633" t="b">
        <f t="shared" si="0"/>
        <v>1</v>
      </c>
      <c r="H71" s="633">
        <f>+'Faculty Trends'!B11</f>
        <v>22</v>
      </c>
      <c r="I71" s="633" t="str">
        <f>+'Faculty Trends'!C11</f>
        <v>02.022.25</v>
      </c>
      <c r="J71" s="633" t="str">
        <f>+'Faculty Trends'!E11</f>
        <v>Full-Time</v>
      </c>
      <c r="K71" s="656" t="str">
        <f>+'Faculty Trends'!K11</f>
        <v>-</v>
      </c>
      <c r="L71" s="636" t="str">
        <f>+'Faculty Trends'!K10</f>
        <v>n/a</v>
      </c>
      <c r="M71" s="636"/>
      <c r="N71" s="636"/>
      <c r="O71" s="636"/>
      <c r="P71" s="636"/>
      <c r="Q71" s="636">
        <f>+'Faculty Trends'!M10</f>
        <v>228</v>
      </c>
      <c r="R71" s="636">
        <f>+'Faculty Trends'!N10</f>
        <v>235</v>
      </c>
      <c r="S71" s="636"/>
    </row>
    <row r="72" spans="1:19">
      <c r="A72">
        <v>68</v>
      </c>
      <c r="B72" s="633" t="str">
        <f>+'Campus Selector'!$G$3</f>
        <v>Canton</v>
      </c>
      <c r="C72" s="634" t="s">
        <v>683</v>
      </c>
      <c r="D72" s="633" t="s">
        <v>247</v>
      </c>
      <c r="E72" s="633">
        <v>2</v>
      </c>
      <c r="F72" s="633">
        <v>23</v>
      </c>
      <c r="G72" s="633" t="b">
        <f t="shared" si="0"/>
        <v>1</v>
      </c>
      <c r="H72" s="633">
        <f>+'Faculty Trends'!B12</f>
        <v>23</v>
      </c>
      <c r="I72" s="633" t="str">
        <f>+'Faculty Trends'!C12</f>
        <v>02.023.25</v>
      </c>
      <c r="J72" s="633" t="str">
        <f>+'Faculty Trends'!E12</f>
        <v>Part-Time</v>
      </c>
      <c r="K72" s="633" t="str">
        <f>+'Faculty Trends'!K12</f>
        <v>-</v>
      </c>
      <c r="L72" s="636" t="str">
        <f>+'Faculty Trends'!K11</f>
        <v>-</v>
      </c>
      <c r="M72" s="636"/>
      <c r="N72" s="636"/>
      <c r="O72" s="636"/>
      <c r="P72" s="636"/>
      <c r="Q72" s="636">
        <f>+'Faculty Trends'!M11</f>
        <v>130</v>
      </c>
      <c r="R72" s="636">
        <f>+'Faculty Trends'!N11</f>
        <v>135</v>
      </c>
      <c r="S72" s="636"/>
    </row>
    <row r="73" spans="1:19">
      <c r="A73">
        <v>85</v>
      </c>
      <c r="B73" s="633" t="str">
        <f>+'Campus Selector'!$G$3</f>
        <v>Canton</v>
      </c>
      <c r="C73" s="634" t="s">
        <v>683</v>
      </c>
      <c r="D73" s="633" t="s">
        <v>247</v>
      </c>
      <c r="E73" s="633">
        <v>3</v>
      </c>
      <c r="F73" s="633">
        <v>403</v>
      </c>
      <c r="G73" s="633" t="b">
        <f t="shared" si="0"/>
        <v>1</v>
      </c>
      <c r="H73" s="633">
        <f>+'Faculty Trends'!B15</f>
        <v>403</v>
      </c>
      <c r="I73" s="633" t="str">
        <f>+'Faculty Trends'!C15</f>
        <v>02.403.90</v>
      </c>
      <c r="J73" s="633" t="str">
        <f>+'Faculty Trends'!E15</f>
        <v>Sector % Full-time</v>
      </c>
      <c r="K73" s="633" t="str">
        <f>+'Faculty Trends'!K15</f>
        <v>-</v>
      </c>
      <c r="L73" s="636" t="str">
        <f>+'Faculty Trends'!K14</f>
        <v>-</v>
      </c>
      <c r="M73" s="636"/>
      <c r="N73" s="636"/>
      <c r="O73" s="636"/>
      <c r="P73" s="636"/>
      <c r="Q73" s="636">
        <f>+'Faculty Trends'!M14</f>
        <v>0.57017543859649122</v>
      </c>
      <c r="R73" s="636">
        <f>+'Faculty Trends'!N14</f>
        <v>0.57446808510638303</v>
      </c>
      <c r="S73" s="636"/>
    </row>
    <row r="74" spans="1:19">
      <c r="A74">
        <v>74</v>
      </c>
      <c r="B74" s="633" t="str">
        <f>+'Campus Selector'!$G$3</f>
        <v>Canton</v>
      </c>
      <c r="C74" s="634" t="s">
        <v>683</v>
      </c>
      <c r="D74" s="633" t="s">
        <v>247</v>
      </c>
      <c r="E74" s="633">
        <v>4</v>
      </c>
      <c r="F74" s="633">
        <v>27</v>
      </c>
      <c r="G74" s="633" t="b">
        <f t="shared" si="0"/>
        <v>1</v>
      </c>
      <c r="H74" s="633">
        <f>+'Faculty Trends'!B18</f>
        <v>27</v>
      </c>
      <c r="I74" s="633" t="str">
        <f>+'Faculty Trends'!C18</f>
        <v>02.027.25</v>
      </c>
      <c r="J74" s="633" t="str">
        <f>+'Faculty Trends'!E18</f>
        <v>Full-Time</v>
      </c>
      <c r="K74" s="656" t="str">
        <f>+'Faculty Trends'!K18</f>
        <v>-</v>
      </c>
      <c r="L74" s="636" t="str">
        <f>+'Faculty Trends'!K17</f>
        <v>-</v>
      </c>
      <c r="M74" s="636"/>
      <c r="N74" s="636"/>
      <c r="O74" s="636"/>
      <c r="P74" s="636"/>
      <c r="Q74" s="636" t="str">
        <f>+'Faculty Trends'!M17</f>
        <v/>
      </c>
      <c r="R74" s="636" t="str">
        <f>+'Faculty Trends'!N17</f>
        <v/>
      </c>
      <c r="S74" s="636"/>
    </row>
    <row r="75" spans="1:19">
      <c r="A75">
        <v>75</v>
      </c>
      <c r="B75" s="633" t="str">
        <f>+'Campus Selector'!$G$3</f>
        <v>Canton</v>
      </c>
      <c r="C75" s="634" t="s">
        <v>683</v>
      </c>
      <c r="D75" s="633" t="s">
        <v>247</v>
      </c>
      <c r="E75" s="633">
        <v>5</v>
      </c>
      <c r="F75" s="633">
        <v>28</v>
      </c>
      <c r="G75" s="633" t="b">
        <f t="shared" si="0"/>
        <v>1</v>
      </c>
      <c r="H75" s="633">
        <f>+'Faculty Trends'!B19</f>
        <v>28</v>
      </c>
      <c r="I75" s="633" t="str">
        <f>+'Faculty Trends'!C19</f>
        <v>02.028.25</v>
      </c>
      <c r="J75" s="633" t="str">
        <f>+'Faculty Trends'!E19</f>
        <v>Part-Time</v>
      </c>
      <c r="K75" s="633" t="str">
        <f>+'Faculty Trends'!K19</f>
        <v>-</v>
      </c>
      <c r="L75" s="636" t="str">
        <f>+'Faculty Trends'!K18</f>
        <v>-</v>
      </c>
      <c r="M75" s="636"/>
      <c r="N75" s="636"/>
      <c r="O75" s="636"/>
      <c r="P75" s="636"/>
      <c r="Q75" s="636">
        <f>+'Faculty Trends'!M18</f>
        <v>0</v>
      </c>
      <c r="R75" s="636">
        <f>+'Faculty Trends'!N18</f>
        <v>0</v>
      </c>
      <c r="S75" s="636"/>
    </row>
    <row r="76" spans="1:19">
      <c r="A76">
        <v>69</v>
      </c>
      <c r="B76" s="633" t="str">
        <f>+'Campus Selector'!$G$3</f>
        <v>Canton</v>
      </c>
      <c r="C76" s="634" t="s">
        <v>683</v>
      </c>
      <c r="D76" s="633" t="s">
        <v>247</v>
      </c>
      <c r="E76" s="633">
        <v>6</v>
      </c>
      <c r="F76" s="633">
        <v>24</v>
      </c>
      <c r="G76" s="633" t="b">
        <f t="shared" si="0"/>
        <v>1</v>
      </c>
      <c r="H76" s="633">
        <f>+'Faculty Trends'!B24</f>
        <v>24</v>
      </c>
      <c r="I76" s="633" t="str">
        <f>+'Faculty Trends'!C24</f>
        <v>02.024.25</v>
      </c>
      <c r="J76" s="633" t="str">
        <f>+'Faculty Trends'!E24</f>
        <v>Estimated Faculty FTE  (FT + .33PT)</v>
      </c>
      <c r="K76" s="656" t="str">
        <f>+'Faculty Trends'!K24</f>
        <v>-</v>
      </c>
      <c r="L76" s="636">
        <f>+'Faculty Trends'!K23</f>
        <v>0</v>
      </c>
      <c r="M76" s="636"/>
      <c r="N76" s="636"/>
      <c r="O76" s="636"/>
      <c r="P76" s="636"/>
      <c r="Q76" s="636">
        <f>+'Faculty Trends'!M23</f>
        <v>0</v>
      </c>
      <c r="R76" s="636">
        <f>+'Faculty Trends'!N23</f>
        <v>0</v>
      </c>
      <c r="S76" s="636"/>
    </row>
    <row r="77" spans="1:19">
      <c r="A77">
        <v>71</v>
      </c>
      <c r="B77" s="633" t="str">
        <f>+'Campus Selector'!$G$3</f>
        <v>Canton</v>
      </c>
      <c r="C77" s="634" t="s">
        <v>683</v>
      </c>
      <c r="D77" s="633" t="s">
        <v>247</v>
      </c>
      <c r="E77" s="633">
        <v>7</v>
      </c>
      <c r="F77" s="633">
        <v>25</v>
      </c>
      <c r="G77" s="633" t="b">
        <f t="shared" si="0"/>
        <v>1</v>
      </c>
      <c r="H77" s="633">
        <f>+'Faculty Trends'!B25</f>
        <v>25</v>
      </c>
      <c r="I77" s="633" t="str">
        <f>+'Faculty Trends'!C25</f>
        <v>02.025.25</v>
      </c>
      <c r="J77" s="633" t="str">
        <f>+'Faculty Trends'!E25</f>
        <v>Student FTE (fall semester)</v>
      </c>
      <c r="K77" s="633" t="str">
        <f>+'Faculty Trends'!K25</f>
        <v>-</v>
      </c>
      <c r="L77" s="636" t="str">
        <f>+'Faculty Trends'!K24</f>
        <v>-</v>
      </c>
      <c r="M77" s="636"/>
      <c r="N77" s="636"/>
      <c r="O77" s="636"/>
      <c r="P77" s="636"/>
      <c r="Q77" s="636">
        <f>+'Faculty Trends'!M24</f>
        <v>162.66663399999999</v>
      </c>
      <c r="R77" s="636">
        <f>+'Faculty Trends'!N24</f>
        <v>168.33330000000001</v>
      </c>
      <c r="S77" s="636"/>
    </row>
    <row r="78" spans="1:19">
      <c r="A78">
        <v>90</v>
      </c>
      <c r="B78" s="633" t="str">
        <f>+'Campus Selector'!$G$3</f>
        <v>Canton</v>
      </c>
      <c r="C78" s="634" t="s">
        <v>683</v>
      </c>
      <c r="D78" s="633" t="s">
        <v>247</v>
      </c>
      <c r="E78" s="633">
        <v>8</v>
      </c>
      <c r="F78" s="633">
        <v>424</v>
      </c>
      <c r="G78" s="633" t="b">
        <f t="shared" si="0"/>
        <v>1</v>
      </c>
      <c r="H78" s="633">
        <f>+'Faculty Trends'!B28</f>
        <v>424</v>
      </c>
      <c r="I78" s="633" t="str">
        <f>+'Faculty Trends'!C28</f>
        <v>02.424.90</v>
      </c>
      <c r="J78" s="633" t="str">
        <f>+'Faculty Trends'!E28</f>
        <v>Sector Student/Faculty FTE Ratio</v>
      </c>
      <c r="K78" s="633" t="str">
        <f>+'Faculty Trends'!K28</f>
        <v>-</v>
      </c>
      <c r="L78" s="636" t="str">
        <f>+'Faculty Trends'!K27</f>
        <v>-</v>
      </c>
      <c r="M78" s="636"/>
      <c r="N78" s="636"/>
      <c r="O78" s="636"/>
      <c r="P78" s="636"/>
      <c r="Q78" s="636">
        <f>+'Faculty Trends'!M27</f>
        <v>19.180331720640389</v>
      </c>
      <c r="R78" s="636">
        <f>+'Faculty Trends'!N27</f>
        <v>19.41386523046836</v>
      </c>
      <c r="S78" s="636"/>
    </row>
    <row r="79" spans="1:19">
      <c r="A79">
        <v>70</v>
      </c>
      <c r="B79" s="633" t="str">
        <f>+'Campus Selector'!$G$3</f>
        <v>Canton</v>
      </c>
      <c r="C79" s="634" t="s">
        <v>683</v>
      </c>
      <c r="D79" s="633" t="s">
        <v>247</v>
      </c>
      <c r="E79" s="633">
        <v>9</v>
      </c>
      <c r="F79" s="633">
        <v>24</v>
      </c>
      <c r="G79" s="633" t="b">
        <f t="shared" si="0"/>
        <v>1</v>
      </c>
      <c r="H79" s="633">
        <f>+'Faculty Trends'!B31</f>
        <v>24</v>
      </c>
      <c r="I79" s="633" t="str">
        <f>+'Faculty Trends'!C31</f>
        <v>02.024.25</v>
      </c>
      <c r="J79" s="633" t="str">
        <f>+'Faculty Trends'!E31</f>
        <v>Estimated Faculty FTE  (FT + .33PT)</v>
      </c>
      <c r="K79" s="656" t="str">
        <f>+'Faculty Trends'!K31</f>
        <v>-</v>
      </c>
      <c r="L79" s="636">
        <f>+'Faculty Trends'!K30</f>
        <v>0</v>
      </c>
      <c r="M79" s="636"/>
      <c r="N79" s="636"/>
      <c r="O79" s="636"/>
      <c r="P79" s="636"/>
      <c r="Q79" s="636">
        <f>+'Faculty Trends'!M30</f>
        <v>0</v>
      </c>
      <c r="R79" s="636">
        <f>+'Faculty Trends'!N30</f>
        <v>0</v>
      </c>
      <c r="S79" s="636"/>
    </row>
    <row r="80" spans="1:19">
      <c r="A80">
        <v>72</v>
      </c>
      <c r="B80" s="633" t="str">
        <f>+'Campus Selector'!$G$3</f>
        <v>Canton</v>
      </c>
      <c r="C80" s="634" t="s">
        <v>683</v>
      </c>
      <c r="D80" s="633" t="s">
        <v>247</v>
      </c>
      <c r="E80" s="633">
        <v>10</v>
      </c>
      <c r="F80" s="633">
        <v>25</v>
      </c>
      <c r="G80" s="633" t="b">
        <f t="shared" si="0"/>
        <v>1</v>
      </c>
      <c r="H80" s="633">
        <f>+'Faculty Trends'!B32</f>
        <v>25</v>
      </c>
      <c r="I80" s="633" t="str">
        <f>+'Faculty Trends'!C32</f>
        <v>02.025.25</v>
      </c>
      <c r="J80" s="633" t="str">
        <f>+'Faculty Trends'!E32</f>
        <v>Student FTE (fall semester)</v>
      </c>
      <c r="K80" s="633" t="str">
        <f>+'Faculty Trends'!K32</f>
        <v>-</v>
      </c>
      <c r="L80" s="636" t="str">
        <f>+'Faculty Trends'!K31</f>
        <v>-</v>
      </c>
      <c r="M80" s="636"/>
      <c r="N80" s="636"/>
      <c r="O80" s="636"/>
      <c r="P80" s="636"/>
      <c r="Q80" s="636" t="str">
        <f>+'Faculty Trends'!M31</f>
        <v/>
      </c>
      <c r="R80" s="636" t="str">
        <f>+'Faculty Trends'!N31</f>
        <v/>
      </c>
      <c r="S80" s="636"/>
    </row>
    <row r="81" spans="1:19">
      <c r="A81">
        <v>73</v>
      </c>
      <c r="B81" s="633" t="str">
        <f>+'Campus Selector'!$G$3</f>
        <v>Canton</v>
      </c>
      <c r="C81" s="634" t="s">
        <v>683</v>
      </c>
      <c r="D81" s="633" t="s">
        <v>247</v>
      </c>
      <c r="E81" s="633">
        <v>11</v>
      </c>
      <c r="F81" s="633">
        <v>26</v>
      </c>
      <c r="G81" s="633" t="b">
        <f t="shared" si="0"/>
        <v>1</v>
      </c>
      <c r="H81" s="633">
        <f>+'Faculty Trends'!B38</f>
        <v>26</v>
      </c>
      <c r="I81" s="633" t="str">
        <f>+'Faculty Trends'!C38</f>
        <v>02.026.25</v>
      </c>
      <c r="J81" s="633" t="str">
        <f>+'Faculty Trends'!E38</f>
        <v>White Non-Hispanic</v>
      </c>
      <c r="K81" s="656" t="str">
        <f>+'Faculty Trends'!K38</f>
        <v>-</v>
      </c>
      <c r="L81" s="636" t="str">
        <f>+'Faculty Trends'!K37</f>
        <v>-</v>
      </c>
      <c r="M81" s="636"/>
      <c r="N81" s="636"/>
      <c r="O81" s="636"/>
      <c r="P81" s="636"/>
      <c r="Q81" s="636" t="str">
        <f>+'Faculty Trends'!M37</f>
        <v>Data provided for reference only.  
No goals requested.</v>
      </c>
      <c r="R81" s="636">
        <f>+'Faculty Trends'!N37</f>
        <v>0</v>
      </c>
      <c r="S81" s="636"/>
    </row>
    <row r="82" spans="1:19">
      <c r="A82">
        <v>76</v>
      </c>
      <c r="B82" s="633" t="str">
        <f>+'Campus Selector'!$G$3</f>
        <v>Canton</v>
      </c>
      <c r="C82" s="634" t="s">
        <v>683</v>
      </c>
      <c r="D82" s="633" t="s">
        <v>247</v>
      </c>
      <c r="E82" s="633">
        <v>12</v>
      </c>
      <c r="F82" s="633">
        <v>29</v>
      </c>
      <c r="G82" s="633" t="b">
        <f t="shared" si="0"/>
        <v>1</v>
      </c>
      <c r="H82" s="633">
        <f>+'Faculty Trends'!B40</f>
        <v>29</v>
      </c>
      <c r="I82" s="633" t="str">
        <f>+'Faculty Trends'!C40</f>
        <v>02.029.25</v>
      </c>
      <c r="J82" s="633" t="str">
        <f>+'Faculty Trends'!E40</f>
        <v>Black Non-Hispanic</v>
      </c>
      <c r="K82" s="656" t="str">
        <f>+'Faculty Trends'!K40</f>
        <v>-</v>
      </c>
      <c r="L82" s="636" t="str">
        <f>+'Faculty Trends'!K39</f>
        <v>-</v>
      </c>
      <c r="M82" s="636"/>
      <c r="N82" s="636"/>
      <c r="O82" s="636"/>
      <c r="P82" s="636"/>
      <c r="Q82" s="636">
        <f>+'Faculty Trends'!M39</f>
        <v>0</v>
      </c>
      <c r="R82" s="636">
        <f>+'Faculty Trends'!N39</f>
        <v>0</v>
      </c>
      <c r="S82" s="636"/>
    </row>
    <row r="83" spans="1:19">
      <c r="A83">
        <v>77</v>
      </c>
      <c r="B83" s="633" t="str">
        <f>+'Campus Selector'!$G$3</f>
        <v>Canton</v>
      </c>
      <c r="C83" s="634" t="s">
        <v>683</v>
      </c>
      <c r="D83" s="633" t="s">
        <v>247</v>
      </c>
      <c r="E83" s="633">
        <v>13</v>
      </c>
      <c r="F83" s="633">
        <v>30</v>
      </c>
      <c r="G83" s="633" t="b">
        <f t="shared" si="0"/>
        <v>1</v>
      </c>
      <c r="H83" s="633">
        <f>+'Faculty Trends'!B41</f>
        <v>30</v>
      </c>
      <c r="I83" s="633" t="str">
        <f>+'Faculty Trends'!C41</f>
        <v>02.030.25</v>
      </c>
      <c r="J83" s="633" t="str">
        <f>+'Faculty Trends'!E41</f>
        <v>Hispanic</v>
      </c>
      <c r="K83" s="656" t="str">
        <f>+'Faculty Trends'!K41</f>
        <v>-</v>
      </c>
      <c r="L83" s="636" t="str">
        <f>+'Faculty Trends'!K40</f>
        <v>-</v>
      </c>
      <c r="M83" s="636"/>
      <c r="N83" s="636"/>
      <c r="O83" s="636"/>
      <c r="P83" s="636"/>
      <c r="Q83" s="636">
        <f>+'Faculty Trends'!M40</f>
        <v>0</v>
      </c>
      <c r="R83" s="636">
        <f>+'Faculty Trends'!N40</f>
        <v>0</v>
      </c>
      <c r="S83" s="636"/>
    </row>
    <row r="84" spans="1:19">
      <c r="A84">
        <v>78</v>
      </c>
      <c r="B84" s="633" t="str">
        <f>+'Campus Selector'!$G$3</f>
        <v>Canton</v>
      </c>
      <c r="C84" s="634" t="s">
        <v>683</v>
      </c>
      <c r="D84" s="633" t="s">
        <v>247</v>
      </c>
      <c r="E84" s="633">
        <v>14</v>
      </c>
      <c r="F84" s="633">
        <v>31</v>
      </c>
      <c r="G84" s="633" t="b">
        <f t="shared" si="0"/>
        <v>1</v>
      </c>
      <c r="H84" s="633">
        <f>+'Faculty Trends'!B42</f>
        <v>31</v>
      </c>
      <c r="I84" s="633" t="str">
        <f>+'Faculty Trends'!C42</f>
        <v>02.031.25</v>
      </c>
      <c r="J84" s="633" t="str">
        <f>+'Faculty Trends'!E42</f>
        <v>Asian/Pacific Islander</v>
      </c>
      <c r="K84" s="656" t="str">
        <f>+'Faculty Trends'!K42</f>
        <v>-</v>
      </c>
      <c r="L84" s="636" t="str">
        <f>+'Faculty Trends'!K41</f>
        <v>-</v>
      </c>
      <c r="M84" s="636"/>
      <c r="N84" s="636"/>
      <c r="O84" s="636"/>
      <c r="P84" s="636"/>
      <c r="Q84" s="636">
        <f>+'Faculty Trends'!M41</f>
        <v>0</v>
      </c>
      <c r="R84" s="636">
        <f>+'Faculty Trends'!N41</f>
        <v>0</v>
      </c>
      <c r="S84" s="636"/>
    </row>
    <row r="85" spans="1:19">
      <c r="A85">
        <v>79</v>
      </c>
      <c r="B85" s="633" t="str">
        <f>+'Campus Selector'!$G$3</f>
        <v>Canton</v>
      </c>
      <c r="C85" s="634" t="s">
        <v>683</v>
      </c>
      <c r="D85" s="633" t="s">
        <v>247</v>
      </c>
      <c r="E85" s="633">
        <v>15</v>
      </c>
      <c r="F85" s="633">
        <v>32</v>
      </c>
      <c r="G85" s="633" t="b">
        <f t="shared" si="0"/>
        <v>1</v>
      </c>
      <c r="H85" s="633">
        <f>+'Faculty Trends'!B43</f>
        <v>32</v>
      </c>
      <c r="I85" s="633" t="str">
        <f>+'Faculty Trends'!C43</f>
        <v>02.032.25</v>
      </c>
      <c r="J85" s="633" t="str">
        <f>+'Faculty Trends'!E43</f>
        <v>Native American/Alaskan</v>
      </c>
      <c r="K85" s="656" t="str">
        <f>+'Faculty Trends'!K43</f>
        <v>-</v>
      </c>
      <c r="L85" s="636" t="str">
        <f>+'Faculty Trends'!K42</f>
        <v>-</v>
      </c>
      <c r="M85" s="636"/>
      <c r="N85" s="636"/>
      <c r="O85" s="636"/>
      <c r="P85" s="636"/>
      <c r="Q85" s="636">
        <f>+'Faculty Trends'!M42</f>
        <v>0</v>
      </c>
      <c r="R85" s="636">
        <f>+'Faculty Trends'!N42</f>
        <v>0</v>
      </c>
      <c r="S85" s="636"/>
    </row>
    <row r="86" spans="1:19">
      <c r="A86">
        <v>80</v>
      </c>
      <c r="B86" s="633" t="str">
        <f>+'Campus Selector'!$G$3</f>
        <v>Canton</v>
      </c>
      <c r="C86" s="634" t="s">
        <v>683</v>
      </c>
      <c r="D86" s="633" t="s">
        <v>247</v>
      </c>
      <c r="E86" s="633">
        <v>16</v>
      </c>
      <c r="F86" s="633">
        <v>33</v>
      </c>
      <c r="G86" s="633" t="b">
        <f t="shared" si="0"/>
        <v>1</v>
      </c>
      <c r="H86" s="633">
        <f>+'Faculty Trends'!B44</f>
        <v>33</v>
      </c>
      <c r="I86" s="633" t="str">
        <f>+'Faculty Trends'!C44</f>
        <v>02.033.25</v>
      </c>
      <c r="J86" s="633" t="str">
        <f>+'Faculty Trends'!E44</f>
        <v>Two or More Races</v>
      </c>
      <c r="K86" s="656" t="str">
        <f>+'Faculty Trends'!K44</f>
        <v>-</v>
      </c>
      <c r="L86" s="636" t="str">
        <f>+'Faculty Trends'!K43</f>
        <v>-</v>
      </c>
      <c r="M86" s="636"/>
      <c r="N86" s="636"/>
      <c r="O86" s="636"/>
      <c r="P86" s="636"/>
      <c r="Q86" s="636">
        <f>+'Faculty Trends'!M43</f>
        <v>0</v>
      </c>
      <c r="R86" s="636">
        <f>+'Faculty Trends'!N43</f>
        <v>0</v>
      </c>
      <c r="S86" s="636"/>
    </row>
    <row r="87" spans="1:19">
      <c r="A87">
        <v>81</v>
      </c>
      <c r="B87" s="633" t="str">
        <f>+'Campus Selector'!$G$3</f>
        <v>Canton</v>
      </c>
      <c r="C87" s="634" t="s">
        <v>683</v>
      </c>
      <c r="D87" s="633" t="s">
        <v>247</v>
      </c>
      <c r="E87" s="633">
        <v>17</v>
      </c>
      <c r="F87" s="633">
        <v>34</v>
      </c>
      <c r="G87" s="633" t="b">
        <f t="shared" si="0"/>
        <v>1</v>
      </c>
      <c r="H87" s="633">
        <f>+'Faculty Trends'!B46</f>
        <v>34</v>
      </c>
      <c r="I87" s="633" t="str">
        <f>+'Faculty Trends'!C46</f>
        <v>02.034.25</v>
      </c>
      <c r="J87" s="633" t="str">
        <f>+'Faculty Trends'!E46</f>
        <v>Non-Resident Alien</v>
      </c>
      <c r="K87" s="656" t="str">
        <f>+'Faculty Trends'!K46</f>
        <v>-</v>
      </c>
      <c r="L87" s="636" t="str">
        <f>+'Faculty Trends'!K45</f>
        <v>-</v>
      </c>
      <c r="M87" s="636"/>
      <c r="N87" s="636"/>
      <c r="O87" s="636"/>
      <c r="P87" s="636"/>
      <c r="Q87" s="636">
        <f>+'Faculty Trends'!M45</f>
        <v>0</v>
      </c>
      <c r="R87" s="636">
        <f>+'Faculty Trends'!N45</f>
        <v>0</v>
      </c>
      <c r="S87" s="636"/>
    </row>
    <row r="88" spans="1:19">
      <c r="A88">
        <v>82</v>
      </c>
      <c r="B88" s="633" t="str">
        <f>+'Campus Selector'!$G$3</f>
        <v>Canton</v>
      </c>
      <c r="C88" s="634" t="s">
        <v>683</v>
      </c>
      <c r="D88" s="633" t="s">
        <v>247</v>
      </c>
      <c r="E88" s="633">
        <v>18</v>
      </c>
      <c r="F88" s="633">
        <v>35</v>
      </c>
      <c r="G88" s="633" t="b">
        <f t="shared" si="0"/>
        <v>1</v>
      </c>
      <c r="H88" s="633">
        <f>+'Faculty Trends'!B47</f>
        <v>35</v>
      </c>
      <c r="I88" s="633" t="str">
        <f>+'Faculty Trends'!C47</f>
        <v>02.035.25</v>
      </c>
      <c r="J88" s="633" t="str">
        <f>+'Faculty Trends'!E47</f>
        <v>Unknown</v>
      </c>
      <c r="K88" s="656" t="str">
        <f>+'Faculty Trends'!K47</f>
        <v>-</v>
      </c>
      <c r="L88" s="636" t="str">
        <f>+'Faculty Trends'!K46</f>
        <v>-</v>
      </c>
      <c r="M88" s="636"/>
      <c r="N88" s="636"/>
      <c r="O88" s="636"/>
      <c r="P88" s="636"/>
      <c r="Q88" s="636">
        <f>+'Faculty Trends'!M46</f>
        <v>0</v>
      </c>
      <c r="R88" s="636">
        <f>+'Faculty Trends'!N46</f>
        <v>0</v>
      </c>
      <c r="S88" s="636"/>
    </row>
    <row r="89" spans="1:19">
      <c r="A89">
        <v>87</v>
      </c>
      <c r="B89" s="633" t="str">
        <f>+'Campus Selector'!$G$3</f>
        <v>Canton</v>
      </c>
      <c r="C89" s="634" t="s">
        <v>683</v>
      </c>
      <c r="D89" s="633" t="s">
        <v>247</v>
      </c>
      <c r="E89" s="633">
        <v>19</v>
      </c>
      <c r="F89" s="633">
        <v>405</v>
      </c>
      <c r="G89" s="633" t="b">
        <f t="shared" si="0"/>
        <v>1</v>
      </c>
      <c r="H89" s="633">
        <f>+'Faculty Trends'!B50</f>
        <v>405</v>
      </c>
      <c r="I89" s="633" t="str">
        <f>+'Faculty Trends'!C50</f>
        <v>02.405.90</v>
      </c>
      <c r="J89" s="633" t="str">
        <f>+'Faculty Trends'!E50</f>
        <v>Sector % All Minorities</v>
      </c>
      <c r="K89" s="658" t="str">
        <f>+'Faculty Trends'!K50</f>
        <v>-</v>
      </c>
      <c r="L89" s="636" t="str">
        <f>+'Faculty Trends'!K49</f>
        <v>-</v>
      </c>
      <c r="M89" s="636"/>
      <c r="N89" s="636"/>
      <c r="O89" s="636"/>
      <c r="P89" s="636"/>
      <c r="Q89" s="636">
        <f>+'Faculty Trends'!M49</f>
        <v>0</v>
      </c>
      <c r="R89" s="636">
        <f>+'Faculty Trends'!N49</f>
        <v>0</v>
      </c>
      <c r="S89" s="636"/>
    </row>
    <row r="90" spans="1:19">
      <c r="A90">
        <v>86</v>
      </c>
      <c r="B90" s="633" t="str">
        <f>+'Campus Selector'!$G$3</f>
        <v>Canton</v>
      </c>
      <c r="C90" s="634" t="s">
        <v>683</v>
      </c>
      <c r="D90" s="633" t="s">
        <v>247</v>
      </c>
      <c r="E90" s="633">
        <v>20</v>
      </c>
      <c r="F90" s="633">
        <v>404</v>
      </c>
      <c r="G90" s="633" t="b">
        <f t="shared" si="0"/>
        <v>1</v>
      </c>
      <c r="H90" s="633">
        <f>+'Faculty Trends'!B53</f>
        <v>404</v>
      </c>
      <c r="I90" s="633" t="str">
        <f>+'Faculty Trends'!C53</f>
        <v>02.404.90</v>
      </c>
      <c r="J90" s="633" t="str">
        <f>+'Faculty Trends'!E53</f>
        <v>Sector % Underrepresented Minorities</v>
      </c>
      <c r="K90" s="658" t="str">
        <f>+'Faculty Trends'!K53</f>
        <v>-</v>
      </c>
      <c r="L90" s="636" t="str">
        <f>+'Faculty Trends'!K52</f>
        <v>-</v>
      </c>
      <c r="M90" s="636"/>
      <c r="N90" s="636"/>
      <c r="O90" s="636"/>
      <c r="P90" s="636"/>
      <c r="Q90" s="636">
        <f>+'Faculty Trends'!M52</f>
        <v>0</v>
      </c>
      <c r="R90" s="636">
        <f>+'Faculty Trends'!N52</f>
        <v>0</v>
      </c>
      <c r="S90" s="636"/>
    </row>
    <row r="91" spans="1:19">
      <c r="A91">
        <v>83</v>
      </c>
      <c r="B91" s="633" t="str">
        <f>+'Campus Selector'!$G$3</f>
        <v>Canton</v>
      </c>
      <c r="C91" s="634" t="s">
        <v>683</v>
      </c>
      <c r="D91" s="633" t="s">
        <v>247</v>
      </c>
      <c r="E91" s="633">
        <v>21</v>
      </c>
      <c r="F91" s="633">
        <v>36</v>
      </c>
      <c r="G91" s="633" t="b">
        <f t="shared" si="0"/>
        <v>1</v>
      </c>
      <c r="H91" s="633">
        <f>+'Faculty Trends'!B57</f>
        <v>36</v>
      </c>
      <c r="I91" s="633" t="str">
        <f>+'Faculty Trends'!C57</f>
        <v>02.036.25</v>
      </c>
      <c r="J91" s="633" t="str">
        <f>+'Faculty Trends'!E57</f>
        <v>Male</v>
      </c>
      <c r="K91" s="656" t="str">
        <f>+'Faculty Trends'!K57</f>
        <v>-</v>
      </c>
      <c r="L91" s="636" t="str">
        <f>+'Faculty Trends'!K56</f>
        <v>-</v>
      </c>
      <c r="M91" s="636"/>
      <c r="N91" s="636"/>
      <c r="O91" s="636"/>
      <c r="P91" s="636"/>
      <c r="Q91" s="636">
        <f>+'Faculty Trends'!M56</f>
        <v>130</v>
      </c>
      <c r="R91" s="636">
        <f>+'Faculty Trends'!N56</f>
        <v>135</v>
      </c>
      <c r="S91" s="636"/>
    </row>
    <row r="92" spans="1:19">
      <c r="A92">
        <v>84</v>
      </c>
      <c r="B92" s="633" t="str">
        <f>+'Campus Selector'!$G$3</f>
        <v>Canton</v>
      </c>
      <c r="C92" s="634" t="s">
        <v>683</v>
      </c>
      <c r="D92" s="633" t="s">
        <v>247</v>
      </c>
      <c r="E92" s="633">
        <v>22</v>
      </c>
      <c r="F92" s="633">
        <v>37</v>
      </c>
      <c r="G92" s="633" t="b">
        <f t="shared" si="0"/>
        <v>1</v>
      </c>
      <c r="H92" s="633">
        <f>+'Faculty Trends'!B58</f>
        <v>37</v>
      </c>
      <c r="I92" s="633" t="str">
        <f>+'Faculty Trends'!C58</f>
        <v>02.037.25</v>
      </c>
      <c r="J92" s="633" t="str">
        <f>+'Faculty Trends'!E58</f>
        <v>Female</v>
      </c>
      <c r="K92" s="656" t="str">
        <f>+'Faculty Trends'!K58</f>
        <v>-</v>
      </c>
      <c r="L92" s="636" t="str">
        <f>+'Faculty Trends'!K57</f>
        <v>-</v>
      </c>
      <c r="M92" s="636"/>
      <c r="N92" s="636"/>
      <c r="O92" s="636"/>
      <c r="P92" s="636"/>
      <c r="Q92" s="636">
        <f>+'Faculty Trends'!M57</f>
        <v>70</v>
      </c>
      <c r="R92" s="636">
        <f>+'Faculty Trends'!N57</f>
        <v>72</v>
      </c>
      <c r="S92" s="636"/>
    </row>
    <row r="93" spans="1:19">
      <c r="A93">
        <v>88</v>
      </c>
      <c r="B93" s="633" t="str">
        <f>+'Campus Selector'!$G$3</f>
        <v>Canton</v>
      </c>
      <c r="C93" s="634" t="s">
        <v>683</v>
      </c>
      <c r="D93" s="633" t="s">
        <v>247</v>
      </c>
      <c r="E93" s="633">
        <v>23</v>
      </c>
      <c r="F93" s="633">
        <v>406</v>
      </c>
      <c r="G93" s="633" t="b">
        <f t="shared" si="0"/>
        <v>1</v>
      </c>
      <c r="H93" s="633">
        <f>+'Faculty Trends'!B61</f>
        <v>406</v>
      </c>
      <c r="I93" s="633" t="str">
        <f>+'Faculty Trends'!C61</f>
        <v>02.406.90</v>
      </c>
      <c r="J93" s="633" t="str">
        <f>+'Faculty Trends'!E61</f>
        <v>Sector % Male</v>
      </c>
      <c r="K93" s="658" t="str">
        <f>+'Faculty Trends'!K61</f>
        <v>-</v>
      </c>
      <c r="L93" s="636" t="str">
        <f>+'Faculty Trends'!K60</f>
        <v>-</v>
      </c>
      <c r="M93" s="636"/>
      <c r="N93" s="636"/>
      <c r="O93" s="636"/>
      <c r="P93" s="636"/>
      <c r="Q93" s="636">
        <f>+'Faculty Trends'!M60</f>
        <v>0.53846153846153844</v>
      </c>
      <c r="R93" s="636">
        <f>+'Faculty Trends'!N60</f>
        <v>0.53333333333333333</v>
      </c>
      <c r="S93" s="636"/>
    </row>
    <row r="94" spans="1:19">
      <c r="A94">
        <v>89</v>
      </c>
      <c r="B94" s="633" t="str">
        <f>+'Campus Selector'!$G$3</f>
        <v>Canton</v>
      </c>
      <c r="C94" s="634" t="s">
        <v>683</v>
      </c>
      <c r="D94" s="633" t="s">
        <v>247</v>
      </c>
      <c r="E94" s="633">
        <v>24</v>
      </c>
      <c r="F94" s="633">
        <v>407</v>
      </c>
      <c r="G94" s="633" t="b">
        <f t="shared" si="0"/>
        <v>1</v>
      </c>
      <c r="H94" s="633">
        <f>+'Faculty Trends'!B64</f>
        <v>407</v>
      </c>
      <c r="I94" s="633" t="str">
        <f>+'Faculty Trends'!C64</f>
        <v>02.407.90</v>
      </c>
      <c r="J94" s="633" t="str">
        <f>+'Faculty Trends'!E64</f>
        <v>Sector % Female</v>
      </c>
      <c r="K94" s="658" t="str">
        <f>+'Faculty Trends'!K64</f>
        <v>-</v>
      </c>
      <c r="L94" s="636" t="str">
        <f>+'Faculty Trends'!K63</f>
        <v>-</v>
      </c>
      <c r="M94" s="636"/>
      <c r="N94" s="636"/>
      <c r="O94" s="636"/>
      <c r="P94" s="636"/>
      <c r="Q94" s="636">
        <f>+'Faculty Trends'!M63</f>
        <v>0.46153846153846156</v>
      </c>
      <c r="R94" s="636">
        <f>+'Faculty Trends'!N63</f>
        <v>0.46666666666666667</v>
      </c>
      <c r="S94" s="636"/>
    </row>
    <row r="95" spans="1:19">
      <c r="A95">
        <v>91</v>
      </c>
      <c r="G95" s="633" t="b">
        <f t="shared" si="0"/>
        <v>1</v>
      </c>
      <c r="L95" s="636"/>
      <c r="M95" s="636"/>
      <c r="N95" s="636"/>
      <c r="O95" s="636"/>
      <c r="P95" s="636"/>
      <c r="Q95" s="636"/>
      <c r="R95" s="636"/>
      <c r="S95" s="636"/>
    </row>
    <row r="96" spans="1:19">
      <c r="A96">
        <v>92</v>
      </c>
      <c r="B96" s="633" t="str">
        <f>+'Campus Selector'!$G$3</f>
        <v>Canton</v>
      </c>
      <c r="C96" s="634" t="s">
        <v>684</v>
      </c>
      <c r="D96" s="633" t="s">
        <v>248</v>
      </c>
      <c r="E96" s="633">
        <v>1</v>
      </c>
      <c r="F96" s="633">
        <v>51</v>
      </c>
      <c r="G96" s="633" t="b">
        <f t="shared" ref="G96:G114" si="1">+F96=H96</f>
        <v>1</v>
      </c>
      <c r="H96" s="633">
        <f>+'Staff Trends'!B11</f>
        <v>51</v>
      </c>
      <c r="I96" s="633" t="str">
        <f>+'Staff Trends'!C11</f>
        <v>03.051.25</v>
      </c>
      <c r="J96" s="633" t="str">
        <f>+'Staff Trends'!E11</f>
        <v>Full-Time</v>
      </c>
      <c r="K96" s="656" t="str">
        <f>+'Staff Trends'!K11</f>
        <v>-</v>
      </c>
      <c r="L96" s="636" t="str">
        <f>+'Staff Trends'!K11</f>
        <v>-</v>
      </c>
      <c r="M96" s="636"/>
      <c r="N96" s="636"/>
      <c r="O96" s="636"/>
      <c r="P96" s="636"/>
      <c r="Q96" s="636">
        <f>+'Staff Trends'!M11</f>
        <v>261</v>
      </c>
      <c r="R96" s="636">
        <f>+'Staff Trends'!N11</f>
        <v>265</v>
      </c>
      <c r="S96" s="636"/>
    </row>
    <row r="97" spans="1:19">
      <c r="A97">
        <v>93</v>
      </c>
      <c r="B97" s="633" t="str">
        <f>+'Campus Selector'!$G$3</f>
        <v>Canton</v>
      </c>
      <c r="C97" s="634" t="s">
        <v>684</v>
      </c>
      <c r="D97" s="633" t="s">
        <v>248</v>
      </c>
      <c r="E97" s="633">
        <v>2</v>
      </c>
      <c r="F97" s="633">
        <v>52</v>
      </c>
      <c r="G97" s="633" t="b">
        <f t="shared" si="1"/>
        <v>1</v>
      </c>
      <c r="H97" s="633">
        <f>+'Staff Trends'!B12</f>
        <v>52</v>
      </c>
      <c r="I97" s="633" t="str">
        <f>+'Staff Trends'!C12</f>
        <v>03.052.25</v>
      </c>
      <c r="J97" s="633" t="str">
        <f>+'Staff Trends'!E12</f>
        <v>Part-Time</v>
      </c>
      <c r="K97" s="633" t="str">
        <f>+'Staff Trends'!K12</f>
        <v>-</v>
      </c>
      <c r="L97" s="636" t="str">
        <f>+'Staff Trends'!K12</f>
        <v>-</v>
      </c>
      <c r="M97" s="636"/>
      <c r="N97" s="636"/>
      <c r="O97" s="636"/>
      <c r="P97" s="636"/>
      <c r="Q97" s="636">
        <f>+'Staff Trends'!M12</f>
        <v>59</v>
      </c>
      <c r="R97" s="636">
        <f>+'Staff Trends'!N12</f>
        <v>60</v>
      </c>
      <c r="S97" s="636"/>
    </row>
    <row r="98" spans="1:19">
      <c r="A98">
        <v>106</v>
      </c>
      <c r="B98" s="633" t="str">
        <f>+'Campus Selector'!$G$3</f>
        <v>Canton</v>
      </c>
      <c r="C98" s="634" t="s">
        <v>684</v>
      </c>
      <c r="D98" s="633" t="s">
        <v>248</v>
      </c>
      <c r="E98" s="633">
        <v>3</v>
      </c>
      <c r="F98" s="633">
        <v>409</v>
      </c>
      <c r="G98" s="633" t="b">
        <f t="shared" si="1"/>
        <v>1</v>
      </c>
      <c r="H98" s="633">
        <f>+'Staff Trends'!B15</f>
        <v>409</v>
      </c>
      <c r="I98" s="633" t="str">
        <f>+'Staff Trends'!C15</f>
        <v>03.409.90</v>
      </c>
      <c r="J98" s="633" t="str">
        <f>+'Staff Trends'!E15</f>
        <v>Sector % Full-time</v>
      </c>
      <c r="K98" s="633" t="str">
        <f>+'Staff Trends'!K15</f>
        <v>-</v>
      </c>
      <c r="L98" s="636" t="str">
        <f>+'Staff Trends'!K15</f>
        <v>-</v>
      </c>
      <c r="M98" s="636"/>
      <c r="N98" s="636"/>
      <c r="O98" s="636"/>
      <c r="P98" s="636"/>
      <c r="Q98" s="636" t="str">
        <f>+'Staff Trends'!M15</f>
        <v>-</v>
      </c>
      <c r="R98" s="636" t="str">
        <f>+'Staff Trends'!N15</f>
        <v>-</v>
      </c>
      <c r="S98" s="636"/>
    </row>
    <row r="99" spans="1:19">
      <c r="A99">
        <v>95</v>
      </c>
      <c r="B99" s="633" t="str">
        <f>+'Campus Selector'!$G$3</f>
        <v>Canton</v>
      </c>
      <c r="C99" s="634" t="s">
        <v>684</v>
      </c>
      <c r="D99" s="633" t="s">
        <v>248</v>
      </c>
      <c r="E99" s="633">
        <v>4</v>
      </c>
      <c r="F99" s="633">
        <v>54</v>
      </c>
      <c r="G99" s="633" t="b">
        <f t="shared" si="1"/>
        <v>1</v>
      </c>
      <c r="H99" s="633">
        <f>+'Staff Trends'!B18</f>
        <v>54</v>
      </c>
      <c r="I99" s="633" t="str">
        <f>+'Staff Trends'!C18</f>
        <v>03.054.25</v>
      </c>
      <c r="J99" s="633" t="str">
        <f>+'Staff Trends'!E18</f>
        <v>Full-Time</v>
      </c>
      <c r="K99" s="656" t="str">
        <f>+'Staff Trends'!K18</f>
        <v>-</v>
      </c>
      <c r="L99" s="636" t="str">
        <f>+'Staff Trends'!K18</f>
        <v>-</v>
      </c>
      <c r="M99" s="636"/>
      <c r="N99" s="636"/>
      <c r="O99" s="636"/>
      <c r="P99" s="636"/>
      <c r="Q99" s="636">
        <f>+'Staff Trends'!M18</f>
        <v>0</v>
      </c>
      <c r="R99" s="636">
        <f>+'Staff Trends'!N18</f>
        <v>0</v>
      </c>
      <c r="S99" s="636"/>
    </row>
    <row r="100" spans="1:19">
      <c r="A100">
        <v>96</v>
      </c>
      <c r="B100" s="633" t="str">
        <f>+'Campus Selector'!$G$3</f>
        <v>Canton</v>
      </c>
      <c r="C100" s="634" t="s">
        <v>684</v>
      </c>
      <c r="D100" s="633" t="s">
        <v>248</v>
      </c>
      <c r="E100" s="633">
        <v>5</v>
      </c>
      <c r="F100" s="633">
        <v>55</v>
      </c>
      <c r="G100" s="633" t="b">
        <f t="shared" si="1"/>
        <v>1</v>
      </c>
      <c r="H100" s="633">
        <f>+'Staff Trends'!B19</f>
        <v>55</v>
      </c>
      <c r="I100" s="633" t="str">
        <f>+'Staff Trends'!C19</f>
        <v>03.055.25</v>
      </c>
      <c r="J100" s="633" t="str">
        <f>+'Staff Trends'!E19</f>
        <v>Part-Time</v>
      </c>
      <c r="K100" s="633" t="str">
        <f>+'Staff Trends'!K19</f>
        <v>-</v>
      </c>
      <c r="L100" s="636" t="str">
        <f>+'Staff Trends'!K19</f>
        <v>-</v>
      </c>
      <c r="M100" s="636"/>
      <c r="N100" s="636"/>
      <c r="O100" s="636"/>
      <c r="P100" s="636"/>
      <c r="Q100" s="636">
        <f>+'Staff Trends'!M19</f>
        <v>0</v>
      </c>
      <c r="R100" s="636">
        <f>+'Staff Trends'!N19</f>
        <v>0</v>
      </c>
      <c r="S100" s="636"/>
    </row>
    <row r="101" spans="1:19">
      <c r="A101">
        <v>94</v>
      </c>
      <c r="B101" s="633" t="str">
        <f>+'Campus Selector'!$G$3</f>
        <v>Canton</v>
      </c>
      <c r="C101" s="634" t="s">
        <v>684</v>
      </c>
      <c r="D101" s="633" t="s">
        <v>248</v>
      </c>
      <c r="E101" s="633">
        <v>6</v>
      </c>
      <c r="F101" s="633">
        <v>53</v>
      </c>
      <c r="G101" s="633" t="b">
        <f t="shared" si="1"/>
        <v>1</v>
      </c>
      <c r="H101" s="633">
        <f>+'Staff Trends'!B25</f>
        <v>53</v>
      </c>
      <c r="I101" s="633" t="str">
        <f>+'Staff Trends'!C25</f>
        <v>03.053.25</v>
      </c>
      <c r="J101" s="633" t="str">
        <f>+'Staff Trends'!E25</f>
        <v>White Non-Hispanic</v>
      </c>
      <c r="K101" s="656" t="str">
        <f>+'Staff Trends'!K25</f>
        <v>-</v>
      </c>
      <c r="L101" s="636" t="str">
        <f>+'Staff Trends'!K25</f>
        <v>-</v>
      </c>
      <c r="M101" s="636"/>
      <c r="N101" s="636"/>
      <c r="O101" s="636"/>
      <c r="P101" s="636"/>
      <c r="Q101" s="636">
        <f>+'Staff Trends'!M25</f>
        <v>0</v>
      </c>
      <c r="R101" s="636">
        <f>+'Staff Trends'!N25</f>
        <v>0</v>
      </c>
      <c r="S101" s="636"/>
    </row>
    <row r="102" spans="1:19">
      <c r="A102">
        <v>97</v>
      </c>
      <c r="B102" s="633" t="str">
        <f>+'Campus Selector'!$G$3</f>
        <v>Canton</v>
      </c>
      <c r="C102" s="634" t="s">
        <v>684</v>
      </c>
      <c r="D102" s="633" t="s">
        <v>248</v>
      </c>
      <c r="E102" s="633">
        <v>7</v>
      </c>
      <c r="F102" s="633">
        <v>56</v>
      </c>
      <c r="G102" s="633" t="b">
        <f t="shared" si="1"/>
        <v>1</v>
      </c>
      <c r="H102" s="633">
        <f>+'Staff Trends'!B27</f>
        <v>56</v>
      </c>
      <c r="I102" s="633" t="str">
        <f>+'Staff Trends'!C27</f>
        <v>03.056.25</v>
      </c>
      <c r="J102" s="633" t="str">
        <f>+'Staff Trends'!E27</f>
        <v>Black Non-Hispanic</v>
      </c>
      <c r="K102" s="656" t="str">
        <f>+'Staff Trends'!K27</f>
        <v>-</v>
      </c>
      <c r="L102" s="636" t="str">
        <f>+'Staff Trends'!K27</f>
        <v>-</v>
      </c>
      <c r="M102" s="636"/>
      <c r="N102" s="636"/>
      <c r="O102" s="636"/>
      <c r="P102" s="636"/>
      <c r="Q102" s="636">
        <f>+'Staff Trends'!M27</f>
        <v>0</v>
      </c>
      <c r="R102" s="636">
        <f>+'Staff Trends'!N27</f>
        <v>0</v>
      </c>
      <c r="S102" s="636"/>
    </row>
    <row r="103" spans="1:19">
      <c r="A103">
        <v>98</v>
      </c>
      <c r="B103" s="633" t="str">
        <f>+'Campus Selector'!$G$3</f>
        <v>Canton</v>
      </c>
      <c r="C103" s="634" t="s">
        <v>684</v>
      </c>
      <c r="D103" s="633" t="s">
        <v>248</v>
      </c>
      <c r="E103" s="633">
        <v>8</v>
      </c>
      <c r="F103" s="633">
        <v>57</v>
      </c>
      <c r="G103" s="633" t="b">
        <f t="shared" si="1"/>
        <v>1</v>
      </c>
      <c r="H103" s="633">
        <f>+'Staff Trends'!B28</f>
        <v>57</v>
      </c>
      <c r="I103" s="633" t="str">
        <f>+'Staff Trends'!C28</f>
        <v>03.057.25</v>
      </c>
      <c r="J103" s="633" t="str">
        <f>+'Staff Trends'!E28</f>
        <v>Hispanic</v>
      </c>
      <c r="K103" s="656" t="str">
        <f>+'Staff Trends'!K28</f>
        <v>-</v>
      </c>
      <c r="L103" s="636" t="str">
        <f>+'Staff Trends'!K28</f>
        <v>-</v>
      </c>
      <c r="M103" s="636"/>
      <c r="N103" s="636"/>
      <c r="O103" s="636"/>
      <c r="P103" s="636"/>
      <c r="Q103" s="636">
        <f>+'Staff Trends'!M28</f>
        <v>0</v>
      </c>
      <c r="R103" s="636">
        <f>+'Staff Trends'!N28</f>
        <v>0</v>
      </c>
      <c r="S103" s="636"/>
    </row>
    <row r="104" spans="1:19">
      <c r="A104">
        <v>99</v>
      </c>
      <c r="B104" s="633" t="str">
        <f>+'Campus Selector'!$G$3</f>
        <v>Canton</v>
      </c>
      <c r="C104" s="634" t="s">
        <v>684</v>
      </c>
      <c r="D104" s="633" t="s">
        <v>248</v>
      </c>
      <c r="E104" s="633">
        <v>9</v>
      </c>
      <c r="F104" s="633">
        <v>58</v>
      </c>
      <c r="G104" s="633" t="b">
        <f t="shared" si="1"/>
        <v>1</v>
      </c>
      <c r="H104" s="633">
        <f>+'Staff Trends'!B29</f>
        <v>58</v>
      </c>
      <c r="I104" s="633" t="str">
        <f>+'Staff Trends'!C29</f>
        <v>03.058.25</v>
      </c>
      <c r="J104" s="633" t="str">
        <f>+'Staff Trends'!E29</f>
        <v>Asian/Pacific Islander</v>
      </c>
      <c r="K104" s="656" t="str">
        <f>+'Staff Trends'!K29</f>
        <v>-</v>
      </c>
      <c r="L104" s="636" t="str">
        <f>+'Staff Trends'!K29</f>
        <v>-</v>
      </c>
      <c r="M104" s="636"/>
      <c r="N104" s="636"/>
      <c r="O104" s="636"/>
      <c r="P104" s="636"/>
      <c r="Q104" s="636">
        <f>+'Staff Trends'!M29</f>
        <v>0</v>
      </c>
      <c r="R104" s="636">
        <f>+'Staff Trends'!N29</f>
        <v>0</v>
      </c>
      <c r="S104" s="636"/>
    </row>
    <row r="105" spans="1:19">
      <c r="A105">
        <v>100</v>
      </c>
      <c r="B105" s="633" t="str">
        <f>+'Campus Selector'!$G$3</f>
        <v>Canton</v>
      </c>
      <c r="C105" s="634" t="s">
        <v>684</v>
      </c>
      <c r="D105" s="633" t="s">
        <v>248</v>
      </c>
      <c r="E105" s="633">
        <v>10</v>
      </c>
      <c r="F105" s="633">
        <v>59</v>
      </c>
      <c r="G105" s="633" t="b">
        <f t="shared" si="1"/>
        <v>1</v>
      </c>
      <c r="H105" s="633">
        <f>+'Staff Trends'!B30</f>
        <v>59</v>
      </c>
      <c r="I105" s="633" t="str">
        <f>+'Staff Trends'!C30</f>
        <v>03.059.25</v>
      </c>
      <c r="J105" s="633" t="str">
        <f>+'Staff Trends'!E30</f>
        <v>Native American/Alaskan</v>
      </c>
      <c r="K105" s="656" t="str">
        <f>+'Staff Trends'!K30</f>
        <v>-</v>
      </c>
      <c r="L105" s="636" t="str">
        <f>+'Staff Trends'!K30</f>
        <v>-</v>
      </c>
      <c r="M105" s="636"/>
      <c r="N105" s="636"/>
      <c r="O105" s="636"/>
      <c r="P105" s="636"/>
      <c r="Q105" s="636">
        <f>+'Staff Trends'!M30</f>
        <v>0</v>
      </c>
      <c r="R105" s="636">
        <f>+'Staff Trends'!N30</f>
        <v>0</v>
      </c>
      <c r="S105" s="636"/>
    </row>
    <row r="106" spans="1:19">
      <c r="A106">
        <v>101</v>
      </c>
      <c r="B106" s="633" t="str">
        <f>+'Campus Selector'!$G$3</f>
        <v>Canton</v>
      </c>
      <c r="C106" s="634" t="s">
        <v>684</v>
      </c>
      <c r="D106" s="633" t="s">
        <v>248</v>
      </c>
      <c r="E106" s="633">
        <v>11</v>
      </c>
      <c r="F106" s="633">
        <v>60</v>
      </c>
      <c r="G106" s="633" t="b">
        <f t="shared" si="1"/>
        <v>1</v>
      </c>
      <c r="H106" s="633">
        <f>+'Staff Trends'!B31</f>
        <v>60</v>
      </c>
      <c r="I106" s="633" t="str">
        <f>+'Staff Trends'!C31</f>
        <v>03.060.25</v>
      </c>
      <c r="J106" s="633" t="str">
        <f>+'Staff Trends'!E31</f>
        <v>Two or More Races</v>
      </c>
      <c r="K106" s="656" t="str">
        <f>+'Staff Trends'!K31</f>
        <v>-</v>
      </c>
      <c r="L106" s="636" t="str">
        <f>+'Staff Trends'!K31</f>
        <v>-</v>
      </c>
      <c r="M106" s="636"/>
      <c r="N106" s="636"/>
      <c r="O106" s="636"/>
      <c r="P106" s="636"/>
      <c r="Q106" s="636">
        <f>+'Staff Trends'!M31</f>
        <v>0</v>
      </c>
      <c r="R106" s="636">
        <f>+'Staff Trends'!N31</f>
        <v>0</v>
      </c>
      <c r="S106" s="636"/>
    </row>
    <row r="107" spans="1:19">
      <c r="A107">
        <v>102</v>
      </c>
      <c r="B107" s="633" t="str">
        <f>+'Campus Selector'!$G$3</f>
        <v>Canton</v>
      </c>
      <c r="C107" s="634" t="s">
        <v>684</v>
      </c>
      <c r="D107" s="633" t="s">
        <v>248</v>
      </c>
      <c r="E107" s="633">
        <v>12</v>
      </c>
      <c r="F107" s="633">
        <v>61</v>
      </c>
      <c r="G107" s="633" t="b">
        <f t="shared" si="1"/>
        <v>1</v>
      </c>
      <c r="H107" s="633">
        <f>+'Staff Trends'!B33</f>
        <v>61</v>
      </c>
      <c r="I107" s="633" t="str">
        <f>+'Staff Trends'!C33</f>
        <v>03.061.25</v>
      </c>
      <c r="J107" s="633" t="str">
        <f>+'Staff Trends'!E33</f>
        <v>Non-Resident Alien</v>
      </c>
      <c r="K107" s="656" t="str">
        <f>+'Staff Trends'!K33</f>
        <v>-</v>
      </c>
      <c r="L107" s="636" t="str">
        <f>+'Staff Trends'!K33</f>
        <v>-</v>
      </c>
      <c r="M107" s="636"/>
      <c r="N107" s="636"/>
      <c r="O107" s="636"/>
      <c r="P107" s="636"/>
      <c r="Q107" s="636">
        <f>+'Staff Trends'!M33</f>
        <v>0</v>
      </c>
      <c r="R107" s="636">
        <f>+'Staff Trends'!N33</f>
        <v>0</v>
      </c>
      <c r="S107" s="636"/>
    </row>
    <row r="108" spans="1:19">
      <c r="A108">
        <v>103</v>
      </c>
      <c r="B108" s="633" t="str">
        <f>+'Campus Selector'!$G$3</f>
        <v>Canton</v>
      </c>
      <c r="C108" s="634" t="s">
        <v>684</v>
      </c>
      <c r="D108" s="633" t="s">
        <v>248</v>
      </c>
      <c r="E108" s="633">
        <v>13</v>
      </c>
      <c r="F108" s="633">
        <v>62</v>
      </c>
      <c r="G108" s="633" t="b">
        <f t="shared" si="1"/>
        <v>1</v>
      </c>
      <c r="H108" s="633">
        <f>+'Staff Trends'!B34</f>
        <v>62</v>
      </c>
      <c r="I108" s="633" t="str">
        <f>+'Staff Trends'!C34</f>
        <v>03.062.25</v>
      </c>
      <c r="J108" s="633" t="str">
        <f>+'Staff Trends'!E34</f>
        <v>Unknown</v>
      </c>
      <c r="K108" s="656" t="str">
        <f>+'Staff Trends'!K34</f>
        <v>-</v>
      </c>
      <c r="L108" s="636" t="str">
        <f>+'Staff Trends'!K34</f>
        <v>-</v>
      </c>
      <c r="M108" s="636"/>
      <c r="N108" s="636"/>
      <c r="O108" s="636"/>
      <c r="P108" s="636"/>
      <c r="Q108" s="636">
        <f>+'Staff Trends'!M34</f>
        <v>0</v>
      </c>
      <c r="R108" s="636">
        <f>+'Staff Trends'!N34</f>
        <v>0</v>
      </c>
      <c r="S108" s="636"/>
    </row>
    <row r="109" spans="1:19">
      <c r="A109">
        <v>108</v>
      </c>
      <c r="B109" s="633" t="str">
        <f>+'Campus Selector'!$G$3</f>
        <v>Canton</v>
      </c>
      <c r="C109" s="634" t="s">
        <v>684</v>
      </c>
      <c r="D109" s="633" t="s">
        <v>248</v>
      </c>
      <c r="E109" s="633">
        <v>14</v>
      </c>
      <c r="F109" s="633">
        <v>411</v>
      </c>
      <c r="G109" s="633" t="b">
        <f t="shared" si="1"/>
        <v>1</v>
      </c>
      <c r="H109" s="633">
        <f>+'Staff Trends'!B37</f>
        <v>411</v>
      </c>
      <c r="I109" s="633" t="str">
        <f>+'Staff Trends'!C37</f>
        <v>03.411.90</v>
      </c>
      <c r="J109" s="633" t="str">
        <f>+'Staff Trends'!E37</f>
        <v>Sector % All Minorities</v>
      </c>
      <c r="K109" s="658" t="str">
        <f>+'Staff Trends'!K37</f>
        <v>-</v>
      </c>
      <c r="L109" s="636" t="str">
        <f>+'Staff Trends'!K37</f>
        <v>-</v>
      </c>
      <c r="M109" s="636"/>
      <c r="N109" s="636"/>
      <c r="O109" s="636"/>
      <c r="P109" s="636"/>
      <c r="Q109" s="636">
        <f>+'Staff Trends'!M37</f>
        <v>0</v>
      </c>
      <c r="R109" s="636">
        <f>+'Staff Trends'!N37</f>
        <v>0</v>
      </c>
      <c r="S109" s="636"/>
    </row>
    <row r="110" spans="1:19">
      <c r="A110">
        <v>107</v>
      </c>
      <c r="B110" s="633" t="str">
        <f>+'Campus Selector'!$G$3</f>
        <v>Canton</v>
      </c>
      <c r="C110" s="634" t="s">
        <v>684</v>
      </c>
      <c r="D110" s="633" t="s">
        <v>248</v>
      </c>
      <c r="E110" s="633">
        <v>15</v>
      </c>
      <c r="F110" s="633">
        <v>410</v>
      </c>
      <c r="G110" s="633" t="b">
        <f t="shared" si="1"/>
        <v>1</v>
      </c>
      <c r="H110" s="633">
        <f>+'Staff Trends'!B40</f>
        <v>410</v>
      </c>
      <c r="I110" s="633" t="str">
        <f>+'Staff Trends'!C40</f>
        <v>03.410.90</v>
      </c>
      <c r="J110" s="633" t="str">
        <f>+'Staff Trends'!E40</f>
        <v>Sector % Underrepresented Minorities</v>
      </c>
      <c r="K110" s="658" t="str">
        <f>+'Staff Trends'!K40</f>
        <v>-</v>
      </c>
      <c r="L110" s="636" t="str">
        <f>+'Staff Trends'!K40</f>
        <v>-</v>
      </c>
      <c r="M110" s="636"/>
      <c r="N110" s="636"/>
      <c r="O110" s="636"/>
      <c r="P110" s="636"/>
      <c r="Q110" s="636">
        <f>+'Staff Trends'!M40</f>
        <v>0</v>
      </c>
      <c r="R110" s="636">
        <f>+'Staff Trends'!N40</f>
        <v>0</v>
      </c>
      <c r="S110" s="636"/>
    </row>
    <row r="111" spans="1:19">
      <c r="A111">
        <v>104</v>
      </c>
      <c r="B111" s="633" t="str">
        <f>+'Campus Selector'!$G$3</f>
        <v>Canton</v>
      </c>
      <c r="C111" s="634" t="s">
        <v>684</v>
      </c>
      <c r="D111" s="633" t="s">
        <v>248</v>
      </c>
      <c r="E111" s="633">
        <v>16</v>
      </c>
      <c r="F111" s="633">
        <v>63</v>
      </c>
      <c r="G111" s="633" t="b">
        <f t="shared" si="1"/>
        <v>1</v>
      </c>
      <c r="H111" s="633">
        <f>+'Staff Trends'!B44</f>
        <v>63</v>
      </c>
      <c r="I111" s="633" t="str">
        <f>+'Staff Trends'!C44</f>
        <v>03.063.25</v>
      </c>
      <c r="J111" s="633" t="str">
        <f>+'Staff Trends'!E44</f>
        <v>Male</v>
      </c>
      <c r="K111" s="656" t="str">
        <f>+'Staff Trends'!K44</f>
        <v>-</v>
      </c>
      <c r="L111" s="636" t="str">
        <f>+'Staff Trends'!K44</f>
        <v>-</v>
      </c>
      <c r="M111" s="636"/>
      <c r="N111" s="636"/>
      <c r="O111" s="636"/>
      <c r="P111" s="636"/>
      <c r="Q111" s="636">
        <f>+'Staff Trends'!M44</f>
        <v>128</v>
      </c>
      <c r="R111" s="636">
        <f>+'Staff Trends'!N44</f>
        <v>130</v>
      </c>
      <c r="S111" s="636"/>
    </row>
    <row r="112" spans="1:19">
      <c r="A112">
        <v>105</v>
      </c>
      <c r="B112" s="633" t="str">
        <f>+'Campus Selector'!$G$3</f>
        <v>Canton</v>
      </c>
      <c r="C112" s="634" t="s">
        <v>684</v>
      </c>
      <c r="D112" s="633" t="s">
        <v>248</v>
      </c>
      <c r="E112" s="633">
        <v>17</v>
      </c>
      <c r="F112" s="633">
        <v>64</v>
      </c>
      <c r="G112" s="633" t="b">
        <f t="shared" si="1"/>
        <v>1</v>
      </c>
      <c r="H112" s="633">
        <f>+'Staff Trends'!B45</f>
        <v>64</v>
      </c>
      <c r="I112" s="633" t="str">
        <f>+'Staff Trends'!C45</f>
        <v>03.064.25</v>
      </c>
      <c r="J112" s="633" t="str">
        <f>+'Staff Trends'!E45</f>
        <v>Female</v>
      </c>
      <c r="K112" s="656" t="str">
        <f>+'Staff Trends'!K45</f>
        <v>-</v>
      </c>
      <c r="L112" s="636" t="str">
        <f>+'Staff Trends'!K45</f>
        <v>-</v>
      </c>
      <c r="M112" s="636"/>
      <c r="N112" s="636"/>
      <c r="O112" s="636"/>
      <c r="P112" s="636"/>
      <c r="Q112" s="636">
        <f>+'Staff Trends'!M45</f>
        <v>133</v>
      </c>
      <c r="R112" s="636">
        <f>+'Staff Trends'!N45</f>
        <v>135</v>
      </c>
      <c r="S112" s="636"/>
    </row>
    <row r="113" spans="1:19">
      <c r="A113">
        <v>109</v>
      </c>
      <c r="B113" s="633" t="str">
        <f>+'Campus Selector'!$G$3</f>
        <v>Canton</v>
      </c>
      <c r="C113" s="634" t="s">
        <v>684</v>
      </c>
      <c r="D113" s="633" t="s">
        <v>248</v>
      </c>
      <c r="E113" s="633">
        <v>18</v>
      </c>
      <c r="F113" s="633">
        <v>412</v>
      </c>
      <c r="G113" s="633" t="b">
        <f t="shared" si="1"/>
        <v>1</v>
      </c>
      <c r="H113" s="633">
        <f>+'Staff Trends'!B48</f>
        <v>412</v>
      </c>
      <c r="I113" s="633" t="str">
        <f>+'Staff Trends'!C48</f>
        <v>03.412.90</v>
      </c>
      <c r="J113" s="633" t="str">
        <f>+'Staff Trends'!E48</f>
        <v>Sector % Male</v>
      </c>
      <c r="K113" s="658" t="str">
        <f>+'Staff Trends'!K48</f>
        <v>-</v>
      </c>
      <c r="L113" s="636" t="str">
        <f>+'Staff Trends'!K48</f>
        <v>-</v>
      </c>
      <c r="M113" s="636"/>
      <c r="N113" s="636"/>
      <c r="O113" s="636"/>
      <c r="P113" s="636"/>
      <c r="Q113" s="636" t="str">
        <f>+'Staff Trends'!M48</f>
        <v>-</v>
      </c>
      <c r="R113" s="636" t="str">
        <f>+'Staff Trends'!N48</f>
        <v>-</v>
      </c>
      <c r="S113" s="636"/>
    </row>
    <row r="114" spans="1:19">
      <c r="A114">
        <v>110</v>
      </c>
      <c r="B114" s="633" t="str">
        <f>+'Campus Selector'!$G$3</f>
        <v>Canton</v>
      </c>
      <c r="C114" s="634" t="s">
        <v>684</v>
      </c>
      <c r="D114" s="633" t="s">
        <v>248</v>
      </c>
      <c r="E114" s="633">
        <v>19</v>
      </c>
      <c r="F114" s="633">
        <v>413</v>
      </c>
      <c r="G114" s="633" t="b">
        <f t="shared" si="1"/>
        <v>1</v>
      </c>
      <c r="H114" s="633">
        <f>+'Staff Trends'!B51</f>
        <v>413</v>
      </c>
      <c r="I114" s="633" t="str">
        <f>+'Staff Trends'!C51</f>
        <v>03.413.90</v>
      </c>
      <c r="J114" s="633" t="str">
        <f>+'Staff Trends'!E51</f>
        <v>Sector % Female</v>
      </c>
      <c r="K114" s="658" t="str">
        <f>+'Staff Trends'!K51</f>
        <v>-</v>
      </c>
      <c r="L114" s="636" t="str">
        <f>+'Staff Trends'!K51</f>
        <v>-</v>
      </c>
      <c r="M114" s="636"/>
      <c r="N114" s="636"/>
      <c r="O114" s="636"/>
      <c r="P114" s="636"/>
      <c r="Q114" s="636" t="str">
        <f>+'Staff Trends'!M51</f>
        <v>-</v>
      </c>
      <c r="R114" s="636" t="str">
        <f>+'Staff Trends'!N51</f>
        <v>-</v>
      </c>
      <c r="S114" s="636"/>
    </row>
    <row r="115" spans="1:19">
      <c r="A115">
        <v>111</v>
      </c>
      <c r="L115" s="636"/>
      <c r="M115" s="636"/>
      <c r="N115" s="636"/>
      <c r="O115" s="636"/>
      <c r="P115" s="636"/>
      <c r="Q115" s="636"/>
      <c r="R115" s="636"/>
      <c r="S115" s="636"/>
    </row>
    <row r="116" spans="1:19">
      <c r="A116">
        <v>112</v>
      </c>
      <c r="B116" s="633" t="str">
        <f>+'Campus Selector'!$G$3</f>
        <v>Canton</v>
      </c>
      <c r="C116" s="634" t="s">
        <v>685</v>
      </c>
      <c r="D116" s="633" t="s">
        <v>290</v>
      </c>
      <c r="E116" s="633">
        <v>1</v>
      </c>
      <c r="H116" s="633">
        <f>+Retention!B12</f>
        <v>134</v>
      </c>
      <c r="I116" s="633" t="str">
        <f>+Retention!C12</f>
        <v>20.134.25</v>
      </c>
      <c r="J116" s="633" t="str">
        <f>+Retention!E12</f>
        <v>First-Time, Full-Time In a Program Cohort</v>
      </c>
      <c r="K116" s="656">
        <f>+Retention!K12</f>
        <v>550</v>
      </c>
      <c r="L116" s="636">
        <f>+Retention!L12</f>
        <v>-0.25775978407557354</v>
      </c>
      <c r="M116" s="636"/>
      <c r="N116" s="636"/>
      <c r="O116" s="636"/>
      <c r="P116" s="636">
        <f>+Retention!M12</f>
        <v>726</v>
      </c>
      <c r="Q116" s="636">
        <f>+Retention!N12</f>
        <v>715</v>
      </c>
      <c r="R116" s="636">
        <f>+Retention!O12</f>
        <v>774</v>
      </c>
      <c r="S116" s="636"/>
    </row>
    <row r="117" spans="1:19">
      <c r="A117">
        <v>113</v>
      </c>
      <c r="B117" s="633" t="str">
        <f>+'Campus Selector'!$G$3</f>
        <v>Canton</v>
      </c>
      <c r="C117" s="634" t="s">
        <v>685</v>
      </c>
      <c r="D117" s="633" t="s">
        <v>290</v>
      </c>
      <c r="E117" s="633">
        <v>2</v>
      </c>
      <c r="H117" s="633">
        <f>+Retention!B13</f>
        <v>135</v>
      </c>
      <c r="I117" s="633" t="str">
        <f>+Retention!C13</f>
        <v>20.135.25</v>
      </c>
      <c r="J117" s="633" t="str">
        <f>+Retention!E13</f>
        <v>Campus First Year Retention Rate</v>
      </c>
      <c r="K117" s="633">
        <f>+Retention!K13</f>
        <v>0.66400000000000003</v>
      </c>
      <c r="L117" s="636" t="str">
        <f>+Retention!L13</f>
        <v>-</v>
      </c>
      <c r="M117" s="636"/>
      <c r="N117" s="636"/>
      <c r="O117" s="636"/>
      <c r="P117" s="636">
        <f>+Retention!M13</f>
        <v>0.629</v>
      </c>
      <c r="Q117" s="636">
        <f>+Retention!N13</f>
        <v>0.71</v>
      </c>
      <c r="R117" s="636">
        <f>+Retention!O13</f>
        <v>0.73</v>
      </c>
      <c r="S117" s="636"/>
    </row>
    <row r="118" spans="1:19">
      <c r="A118">
        <v>114</v>
      </c>
      <c r="B118" s="633" t="str">
        <f>+'Campus Selector'!$G$3</f>
        <v>Canton</v>
      </c>
      <c r="C118" s="634" t="s">
        <v>685</v>
      </c>
      <c r="D118" s="633" t="s">
        <v>290</v>
      </c>
      <c r="E118" s="633">
        <v>3</v>
      </c>
      <c r="H118" s="633">
        <f>+Retention!B26</f>
        <v>142</v>
      </c>
      <c r="I118" s="633" t="str">
        <f>+Retention!C26</f>
        <v>20.142.25</v>
      </c>
      <c r="J118" s="633" t="str">
        <f>+Retention!E26</f>
        <v>Transfer, Full-Time In a Program Cohort</v>
      </c>
      <c r="K118" s="656">
        <f>+Retention!K26</f>
        <v>203</v>
      </c>
      <c r="L118" s="636">
        <f>+Retention!L26</f>
        <v>5.181347150259067E-2</v>
      </c>
      <c r="M118" s="636"/>
      <c r="N118" s="636"/>
      <c r="O118" s="636"/>
      <c r="P118" s="636">
        <f>+Retention!M26</f>
        <v>248</v>
      </c>
      <c r="Q118" s="636">
        <f>+Retention!N26</f>
        <v>272</v>
      </c>
      <c r="R118" s="636">
        <f>+Retention!O26</f>
        <v>294</v>
      </c>
      <c r="S118" s="636"/>
    </row>
    <row r="119" spans="1:19">
      <c r="A119">
        <v>115</v>
      </c>
      <c r="B119" s="633" t="str">
        <f>+'Campus Selector'!$G$3</f>
        <v>Canton</v>
      </c>
      <c r="C119" s="634" t="s">
        <v>685</v>
      </c>
      <c r="D119" s="633" t="s">
        <v>290</v>
      </c>
      <c r="E119" s="633">
        <v>4</v>
      </c>
      <c r="H119" s="633">
        <f>+Retention!B27</f>
        <v>143</v>
      </c>
      <c r="I119" s="633" t="str">
        <f>+Retention!C27</f>
        <v>20.143.25</v>
      </c>
      <c r="J119" s="633" t="str">
        <f>+Retention!E27</f>
        <v>Campus First Year Retention Rate</v>
      </c>
      <c r="K119" s="633">
        <f>+Retention!K27</f>
        <v>0.68</v>
      </c>
      <c r="L119" s="636" t="str">
        <f>+Retention!L27</f>
        <v>-</v>
      </c>
      <c r="M119" s="636"/>
      <c r="N119" s="636"/>
      <c r="O119" s="636"/>
      <c r="P119" s="636">
        <f>+Retention!M27</f>
        <v>0.76200000000000001</v>
      </c>
      <c r="Q119" s="636">
        <f>+Retention!N27</f>
        <v>0.75</v>
      </c>
      <c r="R119" s="636">
        <f>+Retention!O27</f>
        <v>0.78</v>
      </c>
      <c r="S119" s="636"/>
    </row>
    <row r="120" spans="1:19">
      <c r="A120">
        <v>116</v>
      </c>
      <c r="B120" s="633" t="str">
        <f>+'Campus Selector'!$G$3</f>
        <v>Canton</v>
      </c>
      <c r="C120" s="634" t="s">
        <v>685</v>
      </c>
      <c r="D120" s="633" t="s">
        <v>290</v>
      </c>
      <c r="H120" s="633">
        <f>+Retention!B14</f>
        <v>135</v>
      </c>
      <c r="I120" s="633" t="str">
        <f>+Retention!C14</f>
        <v>20.135.90</v>
      </c>
      <c r="J120" s="633" t="str">
        <f>+Retention!E14</f>
        <v>Sector First Year Retention Rate</v>
      </c>
      <c r="K120" s="633">
        <f>+Retention!K14</f>
        <v>0.70400000000000007</v>
      </c>
      <c r="L120" s="636" t="str">
        <f>+Retention!L14</f>
        <v>-</v>
      </c>
      <c r="M120" s="636"/>
      <c r="N120" s="636"/>
      <c r="O120" s="636"/>
      <c r="P120" s="636" t="str">
        <f>+Retention!M14</f>
        <v>-</v>
      </c>
      <c r="Q120" s="636" t="str">
        <f>+Retention!N14</f>
        <v>-</v>
      </c>
      <c r="R120" s="636" t="str">
        <f>+Retention!O14</f>
        <v>-</v>
      </c>
      <c r="S120" s="636"/>
    </row>
    <row r="121" spans="1:19">
      <c r="A121">
        <v>117</v>
      </c>
      <c r="B121" s="633" t="str">
        <f>+'Campus Selector'!$G$3</f>
        <v>Canton</v>
      </c>
      <c r="C121" s="634" t="s">
        <v>685</v>
      </c>
      <c r="D121" s="633" t="s">
        <v>290</v>
      </c>
      <c r="H121" s="633">
        <f>+Retention!B28</f>
        <v>143</v>
      </c>
      <c r="I121" s="633" t="str">
        <f>+Retention!C28</f>
        <v>20.143.90</v>
      </c>
      <c r="J121" s="633" t="str">
        <f>+Retention!E28</f>
        <v>Sector First Year Retention Rate</v>
      </c>
      <c r="K121" s="633">
        <f>+Retention!K28</f>
        <v>0.76800000000000002</v>
      </c>
      <c r="L121" s="636" t="str">
        <f>+Retention!L28</f>
        <v>-</v>
      </c>
      <c r="M121" s="636"/>
      <c r="N121" s="636"/>
      <c r="O121" s="636"/>
      <c r="P121" s="636" t="str">
        <f>+Retention!M28</f>
        <v>-</v>
      </c>
      <c r="Q121" s="636" t="str">
        <f>+Retention!N28</f>
        <v>-</v>
      </c>
      <c r="R121" s="636" t="str">
        <f>+Retention!O28</f>
        <v>-</v>
      </c>
      <c r="S121" s="636"/>
    </row>
    <row r="122" spans="1:19">
      <c r="A122">
        <v>118</v>
      </c>
      <c r="B122" s="633" t="str">
        <f>+'Campus Selector'!$G$3</f>
        <v>Canton</v>
      </c>
      <c r="C122" s="634" t="s">
        <v>685</v>
      </c>
      <c r="D122" s="633" t="s">
        <v>290</v>
      </c>
      <c r="H122" s="633">
        <f>+Retention!B15</f>
        <v>362</v>
      </c>
      <c r="I122" s="633" t="str">
        <f>+Retention!C15</f>
        <v>20.362.4-yr public</v>
      </c>
      <c r="J122" s="633" t="str">
        <f>+Retention!E15</f>
        <v>National Public First Year Retention Rate</v>
      </c>
      <c r="K122" s="633" t="str">
        <f>+Retention!K15</f>
        <v>n/a</v>
      </c>
      <c r="L122" s="636" t="str">
        <f>+Retention!L15</f>
        <v>-</v>
      </c>
      <c r="M122" s="636"/>
      <c r="N122" s="636"/>
      <c r="O122" s="636"/>
      <c r="P122" s="636" t="str">
        <f>+Retention!M15</f>
        <v>-</v>
      </c>
      <c r="Q122" s="636" t="str">
        <f>+Retention!N15</f>
        <v>-</v>
      </c>
      <c r="R122" s="636" t="str">
        <f>+Retention!O15</f>
        <v>-</v>
      </c>
      <c r="S122" s="636"/>
    </row>
    <row r="123" spans="1:19">
      <c r="A123">
        <v>119</v>
      </c>
      <c r="L123" s="635"/>
      <c r="M123" s="635"/>
      <c r="N123" s="635"/>
      <c r="O123" s="635"/>
      <c r="P123" s="635"/>
      <c r="Q123" s="635"/>
      <c r="R123" s="635"/>
      <c r="S123" s="635"/>
    </row>
    <row r="124" spans="1:19">
      <c r="A124">
        <v>120</v>
      </c>
      <c r="B124" s="633" t="str">
        <f>+'Campus Selector'!$G$3</f>
        <v>Canton</v>
      </c>
      <c r="C124" s="634" t="s">
        <v>686</v>
      </c>
      <c r="D124" s="633" t="s">
        <v>320</v>
      </c>
      <c r="E124" s="633">
        <v>1</v>
      </c>
      <c r="F124" s="633">
        <v>301</v>
      </c>
      <c r="G124" s="633" t="b">
        <f t="shared" ref="G124:G131" si="2">+F124=H124</f>
        <v>1</v>
      </c>
      <c r="H124" s="633">
        <f>+'First-Time Grad Rates'!B14</f>
        <v>301</v>
      </c>
      <c r="I124" s="633" t="str">
        <f>+'First-Time Grad Rates'!C14</f>
        <v>09.301.25</v>
      </c>
      <c r="J124" s="633" t="str">
        <f>+'First-Time Grad Rates'!E14</f>
        <v>Initial Cohort</v>
      </c>
      <c r="K124" s="656">
        <f>+'First-Time Grad Rates'!K14</f>
        <v>563</v>
      </c>
      <c r="L124" s="636">
        <f>+'First-Time Grad Rates'!M14</f>
        <v>585</v>
      </c>
      <c r="M124" s="636"/>
      <c r="N124" s="636"/>
      <c r="O124" s="636"/>
      <c r="P124" s="636">
        <f>+'First-Time Grad Rates'!N14</f>
        <v>585</v>
      </c>
      <c r="Q124" s="636">
        <f>+'First-Time Grad Rates'!O14</f>
        <v>412</v>
      </c>
      <c r="R124" s="636">
        <f>+'First-Time Grad Rates'!P14</f>
        <v>485</v>
      </c>
      <c r="S124" s="636"/>
    </row>
    <row r="125" spans="1:19">
      <c r="A125">
        <v>121</v>
      </c>
      <c r="B125" s="633" t="str">
        <f>+'Campus Selector'!$G$3</f>
        <v>Canton</v>
      </c>
      <c r="C125" s="634" t="s">
        <v>686</v>
      </c>
      <c r="D125" s="633" t="s">
        <v>320</v>
      </c>
      <c r="E125" s="633">
        <v>2</v>
      </c>
      <c r="F125" s="633">
        <v>136</v>
      </c>
      <c r="G125" s="633" t="b">
        <f t="shared" si="2"/>
        <v>1</v>
      </c>
      <c r="H125" s="633">
        <f>+'First-Time Grad Rates'!B15</f>
        <v>136</v>
      </c>
      <c r="I125" s="633" t="str">
        <f>+'First-Time Grad Rates'!C15</f>
        <v>09.136.25</v>
      </c>
      <c r="J125" s="633" t="str">
        <f>+'First-Time Grad Rates'!E15</f>
        <v>Two-Year</v>
      </c>
      <c r="K125" s="633">
        <f>+'First-Time Grad Rates'!K15</f>
        <v>0.17939609236234458</v>
      </c>
      <c r="L125" s="636">
        <f>+'First-Time Grad Rates'!M15</f>
        <v>0.11965811965811966</v>
      </c>
      <c r="M125" s="636"/>
      <c r="N125" s="636"/>
      <c r="O125" s="636"/>
      <c r="P125" s="636">
        <f>+'First-Time Grad Rates'!N15</f>
        <v>0.17100000000000001</v>
      </c>
      <c r="Q125" s="636">
        <f>+'First-Time Grad Rates'!O15</f>
        <v>0.2</v>
      </c>
      <c r="R125" s="636">
        <f>+'First-Time Grad Rates'!P15</f>
        <v>0.28000000000000003</v>
      </c>
      <c r="S125" s="636"/>
    </row>
    <row r="126" spans="1:19">
      <c r="A126">
        <v>122</v>
      </c>
      <c r="B126" s="633" t="str">
        <f>+'Campus Selector'!$G$3</f>
        <v>Canton</v>
      </c>
      <c r="C126" s="634" t="s">
        <v>686</v>
      </c>
      <c r="D126" s="633" t="s">
        <v>320</v>
      </c>
      <c r="E126" s="633">
        <v>3</v>
      </c>
      <c r="F126" s="633">
        <v>137</v>
      </c>
      <c r="G126" s="633" t="b">
        <f t="shared" si="2"/>
        <v>1</v>
      </c>
      <c r="H126" s="633">
        <f>+'First-Time Grad Rates'!B16</f>
        <v>137</v>
      </c>
      <c r="I126" s="633" t="str">
        <f>+'First-Time Grad Rates'!C16</f>
        <v>09.137.25</v>
      </c>
      <c r="J126" s="633" t="str">
        <f>+'First-Time Grad Rates'!E16</f>
        <v>Three-Year</v>
      </c>
      <c r="K126" s="633">
        <f>+'First-Time Grad Rates'!K16</f>
        <v>0.29129662522202487</v>
      </c>
      <c r="L126" s="636">
        <f>+'First-Time Grad Rates'!M16</f>
        <v>0.23589743589743589</v>
      </c>
      <c r="M126" s="636"/>
      <c r="N126" s="636"/>
      <c r="O126" s="636"/>
      <c r="P126" s="636">
        <f>+'First-Time Grad Rates'!N16</f>
        <v>0.27400000000000002</v>
      </c>
      <c r="Q126" s="636">
        <f>+'First-Time Grad Rates'!O16</f>
        <v>0.3</v>
      </c>
      <c r="R126" s="636">
        <f>+'First-Time Grad Rates'!P16</f>
        <v>0.35</v>
      </c>
      <c r="S126" s="636"/>
    </row>
    <row r="127" spans="1:19">
      <c r="A127">
        <v>123</v>
      </c>
      <c r="B127" s="633" t="str">
        <f>+'Campus Selector'!$G$3</f>
        <v>Canton</v>
      </c>
      <c r="C127" s="634" t="s">
        <v>686</v>
      </c>
      <c r="D127" s="633" t="s">
        <v>320</v>
      </c>
      <c r="E127" s="633">
        <v>4</v>
      </c>
      <c r="F127" s="633">
        <v>138</v>
      </c>
      <c r="G127" s="633" t="b">
        <f t="shared" si="2"/>
        <v>1</v>
      </c>
      <c r="H127" s="633">
        <f>+'First-Time Grad Rates'!B17</f>
        <v>138</v>
      </c>
      <c r="I127" s="633" t="str">
        <f>+'First-Time Grad Rates'!C17</f>
        <v>09.138.25</v>
      </c>
      <c r="J127" s="633" t="str">
        <f>+'First-Time Grad Rates'!E17</f>
        <v>Four-Year</v>
      </c>
      <c r="K127" s="633">
        <f>+'First-Time Grad Rates'!K17</f>
        <v>0.31793960923623443</v>
      </c>
      <c r="L127" s="636" t="str">
        <f>+'First-Time Grad Rates'!M17</f>
        <v>-</v>
      </c>
      <c r="M127" s="636"/>
      <c r="N127" s="636"/>
      <c r="O127" s="636"/>
      <c r="P127" s="636">
        <f>+'First-Time Grad Rates'!N17</f>
        <v>0.29399999999999998</v>
      </c>
      <c r="Q127" s="636">
        <f>+'First-Time Grad Rates'!O17</f>
        <v>0.32</v>
      </c>
      <c r="R127" s="636">
        <f>+'First-Time Grad Rates'!P17</f>
        <v>0.37</v>
      </c>
      <c r="S127" s="636"/>
    </row>
    <row r="128" spans="1:19">
      <c r="A128">
        <v>124</v>
      </c>
      <c r="B128" s="633" t="str">
        <f>+'Campus Selector'!$G$3</f>
        <v>Canton</v>
      </c>
      <c r="C128" s="634" t="s">
        <v>686</v>
      </c>
      <c r="D128" s="633" t="s">
        <v>320</v>
      </c>
      <c r="E128" s="633">
        <v>5</v>
      </c>
      <c r="F128" s="633">
        <v>300</v>
      </c>
      <c r="G128" s="633" t="b">
        <f t="shared" si="2"/>
        <v>1</v>
      </c>
      <c r="H128" s="633">
        <f>+'First-Time Grad Rates'!B30</f>
        <v>300</v>
      </c>
      <c r="I128" s="633" t="str">
        <f>+'First-Time Grad Rates'!C30</f>
        <v>09.300.25</v>
      </c>
      <c r="J128" s="633" t="str">
        <f>+'First-Time Grad Rates'!E30</f>
        <v>Initial Cohort</v>
      </c>
      <c r="K128" s="656">
        <f>+'First-Time Grad Rates'!K30</f>
        <v>75</v>
      </c>
      <c r="L128" s="636">
        <f>+'First-Time Grad Rates'!M30</f>
        <v>94</v>
      </c>
      <c r="M128" s="636"/>
      <c r="N128" s="636"/>
      <c r="O128" s="636"/>
      <c r="P128" s="636">
        <f>+'First-Time Grad Rates'!N30</f>
        <v>94</v>
      </c>
      <c r="Q128" s="636">
        <f>+'First-Time Grad Rates'!O30</f>
        <v>126</v>
      </c>
      <c r="R128" s="636">
        <f>+'First-Time Grad Rates'!P30</f>
        <v>131</v>
      </c>
      <c r="S128" s="636"/>
    </row>
    <row r="129" spans="1:19">
      <c r="A129">
        <v>125</v>
      </c>
      <c r="B129" s="633" t="str">
        <f>+'Campus Selector'!$G$3</f>
        <v>Canton</v>
      </c>
      <c r="C129" s="634" t="s">
        <v>686</v>
      </c>
      <c r="D129" s="633" t="s">
        <v>320</v>
      </c>
      <c r="E129" s="633">
        <v>6</v>
      </c>
      <c r="F129" s="633">
        <v>139</v>
      </c>
      <c r="G129" s="633" t="b">
        <f t="shared" si="2"/>
        <v>1</v>
      </c>
      <c r="H129" s="633">
        <f>+'First-Time Grad Rates'!B31</f>
        <v>139</v>
      </c>
      <c r="I129" s="633" t="str">
        <f>+'First-Time Grad Rates'!C31</f>
        <v>09.139.25</v>
      </c>
      <c r="J129" s="633" t="str">
        <f>+'First-Time Grad Rates'!E31</f>
        <v>Four-Year</v>
      </c>
      <c r="K129" s="633">
        <f>+'First-Time Grad Rates'!K31</f>
        <v>0.18666666666666668</v>
      </c>
      <c r="L129" s="636">
        <f>+'First-Time Grad Rates'!M31</f>
        <v>0.27659574468085107</v>
      </c>
      <c r="M129" s="636"/>
      <c r="N129" s="636"/>
      <c r="O129" s="636"/>
      <c r="P129" s="636">
        <f>+'First-Time Grad Rates'!N31</f>
        <v>0.27700000000000002</v>
      </c>
      <c r="Q129" s="636">
        <f>+'First-Time Grad Rates'!O31</f>
        <v>0.3</v>
      </c>
      <c r="R129" s="636">
        <f>+'First-Time Grad Rates'!P31</f>
        <v>0.35</v>
      </c>
      <c r="S129" s="636"/>
    </row>
    <row r="130" spans="1:19">
      <c r="A130">
        <v>126</v>
      </c>
      <c r="B130" s="633" t="str">
        <f>+'Campus Selector'!$G$3</f>
        <v>Canton</v>
      </c>
      <c r="C130" s="634" t="s">
        <v>686</v>
      </c>
      <c r="D130" s="633" t="s">
        <v>320</v>
      </c>
      <c r="E130" s="633">
        <v>7</v>
      </c>
      <c r="F130" s="633">
        <v>140</v>
      </c>
      <c r="G130" s="633" t="b">
        <f t="shared" si="2"/>
        <v>1</v>
      </c>
      <c r="H130" s="633">
        <f>+'First-Time Grad Rates'!B32</f>
        <v>140</v>
      </c>
      <c r="I130" s="633" t="str">
        <f>+'First-Time Grad Rates'!C32</f>
        <v>09.140.25</v>
      </c>
      <c r="J130" s="633" t="str">
        <f>+'First-Time Grad Rates'!E32</f>
        <v>Five-Year</v>
      </c>
      <c r="K130" s="633">
        <f>+'First-Time Grad Rates'!K32</f>
        <v>0.26666666666666666</v>
      </c>
      <c r="L130" s="636">
        <f>+'First-Time Grad Rates'!M32</f>
        <v>0.30851063829787234</v>
      </c>
      <c r="M130" s="636"/>
      <c r="N130" s="636"/>
      <c r="O130" s="636"/>
      <c r="P130" s="636">
        <f>+'First-Time Grad Rates'!N32</f>
        <v>0.34</v>
      </c>
      <c r="Q130" s="636">
        <f>+'First-Time Grad Rates'!O32</f>
        <v>0.38</v>
      </c>
      <c r="R130" s="636">
        <f>+'First-Time Grad Rates'!P32</f>
        <v>0.4</v>
      </c>
      <c r="S130" s="636"/>
    </row>
    <row r="131" spans="1:19">
      <c r="A131">
        <v>127</v>
      </c>
      <c r="B131" s="633" t="str">
        <f>+'Campus Selector'!$G$3</f>
        <v>Canton</v>
      </c>
      <c r="C131" s="634" t="s">
        <v>686</v>
      </c>
      <c r="D131" s="633" t="s">
        <v>320</v>
      </c>
      <c r="E131" s="633">
        <v>8</v>
      </c>
      <c r="F131" s="633">
        <v>141</v>
      </c>
      <c r="G131" s="633" t="b">
        <f t="shared" si="2"/>
        <v>1</v>
      </c>
      <c r="H131" s="633">
        <f>+'First-Time Grad Rates'!B33</f>
        <v>141</v>
      </c>
      <c r="I131" s="633" t="str">
        <f>+'First-Time Grad Rates'!C33</f>
        <v>09.141.25</v>
      </c>
      <c r="J131" s="633" t="str">
        <f>+'First-Time Grad Rates'!E33</f>
        <v>Six-Year Graduation Rate</v>
      </c>
      <c r="K131" s="633">
        <f>+'First-Time Grad Rates'!K33</f>
        <v>0.30666666666666664</v>
      </c>
      <c r="L131" s="636" t="str">
        <f>+'First-Time Grad Rates'!M33</f>
        <v>-</v>
      </c>
      <c r="M131" s="636"/>
      <c r="N131" s="636"/>
      <c r="O131" s="636"/>
      <c r="P131" s="636">
        <f>+'First-Time Grad Rates'!N33</f>
        <v>0.34</v>
      </c>
      <c r="Q131" s="636">
        <f>+'First-Time Grad Rates'!O33</f>
        <v>0.4</v>
      </c>
      <c r="R131" s="636">
        <f>+'First-Time Grad Rates'!P33</f>
        <v>0.42</v>
      </c>
      <c r="S131" s="636"/>
    </row>
    <row r="132" spans="1:19">
      <c r="C132" s="634"/>
      <c r="K132" s="656"/>
      <c r="L132" s="636"/>
      <c r="M132" s="636"/>
      <c r="N132" s="636"/>
      <c r="O132" s="636"/>
      <c r="P132" s="636"/>
      <c r="Q132" s="636"/>
      <c r="R132" s="636"/>
      <c r="S132" s="636"/>
    </row>
    <row r="133" spans="1:19">
      <c r="A133">
        <v>128</v>
      </c>
      <c r="B133" s="633" t="str">
        <f>+'Campus Selector'!$G$3</f>
        <v>Canton</v>
      </c>
      <c r="C133" s="634" t="s">
        <v>686</v>
      </c>
      <c r="D133" s="633" t="s">
        <v>320</v>
      </c>
      <c r="H133" s="633">
        <f>+'First-Time Grad Rates'!B20</f>
        <v>136</v>
      </c>
      <c r="I133" s="633" t="str">
        <f>+'First-Time Grad Rates'!C20</f>
        <v>09.136.90</v>
      </c>
      <c r="J133" s="633" t="str">
        <f>+'First-Time Grad Rates'!E20</f>
        <v>Two-Year</v>
      </c>
      <c r="K133" s="633">
        <f>+'First-Time Grad Rates'!K20</f>
        <v>0.22031017633312089</v>
      </c>
      <c r="L133" s="636">
        <f>+'First-Time Grad Rates'!M20</f>
        <v>0.21759675967596759</v>
      </c>
      <c r="M133" s="636"/>
      <c r="N133" s="636"/>
      <c r="O133" s="636"/>
      <c r="P133" s="636" t="str">
        <f>+'First-Time Grad Rates'!N20</f>
        <v>-</v>
      </c>
      <c r="Q133" s="636" t="str">
        <f>+'First-Time Grad Rates'!O20</f>
        <v>-</v>
      </c>
      <c r="R133" s="636" t="str">
        <f>+'First-Time Grad Rates'!P20</f>
        <v>-</v>
      </c>
      <c r="S133" s="636"/>
    </row>
    <row r="134" spans="1:19">
      <c r="A134">
        <v>129</v>
      </c>
      <c r="B134" s="633" t="str">
        <f>+'Campus Selector'!$G$3</f>
        <v>Canton</v>
      </c>
      <c r="C134" s="634" t="s">
        <v>686</v>
      </c>
      <c r="D134" s="633" t="s">
        <v>320</v>
      </c>
      <c r="H134" s="633">
        <f>+'First-Time Grad Rates'!B21</f>
        <v>137</v>
      </c>
      <c r="I134" s="633" t="str">
        <f>+'First-Time Grad Rates'!C21</f>
        <v>09.137.90</v>
      </c>
      <c r="J134" s="633" t="str">
        <f>+'First-Time Grad Rates'!E21</f>
        <v>Three-Year</v>
      </c>
      <c r="K134" s="633">
        <f>+'First-Time Grad Rates'!K21</f>
        <v>0.33885702145740387</v>
      </c>
      <c r="L134" s="636">
        <f>+'First-Time Grad Rates'!M21</f>
        <v>0.32763276327632762</v>
      </c>
      <c r="M134" s="636"/>
      <c r="N134" s="636"/>
      <c r="O134" s="636"/>
      <c r="P134" s="636" t="str">
        <f>+'First-Time Grad Rates'!N21</f>
        <v>-</v>
      </c>
      <c r="Q134" s="636" t="str">
        <f>+'First-Time Grad Rates'!O21</f>
        <v>-</v>
      </c>
      <c r="R134" s="636" t="str">
        <f>+'First-Time Grad Rates'!P21</f>
        <v>-</v>
      </c>
      <c r="S134" s="636"/>
    </row>
    <row r="135" spans="1:19">
      <c r="A135">
        <v>130</v>
      </c>
      <c r="B135" s="633" t="str">
        <f>+'Campus Selector'!$G$3</f>
        <v>Canton</v>
      </c>
      <c r="C135" s="634" t="s">
        <v>686</v>
      </c>
      <c r="D135" s="633" t="s">
        <v>320</v>
      </c>
      <c r="H135" s="633">
        <f>+'First-Time Grad Rates'!B22</f>
        <v>138</v>
      </c>
      <c r="I135" s="633" t="str">
        <f>+'First-Time Grad Rates'!C22</f>
        <v>09.138.90</v>
      </c>
      <c r="J135" s="633" t="str">
        <f>+'First-Time Grad Rates'!E22</f>
        <v>Four-Year</v>
      </c>
      <c r="K135" s="633">
        <f>+'First-Time Grad Rates'!K22</f>
        <v>0.36817505842362441</v>
      </c>
      <c r="L135" s="636" t="str">
        <f>+'First-Time Grad Rates'!M22</f>
        <v>-</v>
      </c>
      <c r="M135" s="636"/>
      <c r="N135" s="636"/>
      <c r="O135" s="636"/>
      <c r="P135" s="636" t="str">
        <f>+'First-Time Grad Rates'!N22</f>
        <v>-</v>
      </c>
      <c r="Q135" s="636" t="str">
        <f>+'First-Time Grad Rates'!O22</f>
        <v>-</v>
      </c>
      <c r="R135" s="636" t="str">
        <f>+'First-Time Grad Rates'!P22</f>
        <v>-</v>
      </c>
      <c r="S135" s="636"/>
    </row>
    <row r="136" spans="1:19">
      <c r="A136">
        <v>131</v>
      </c>
      <c r="B136" s="633" t="str">
        <f>+'Campus Selector'!$G$3</f>
        <v>Canton</v>
      </c>
      <c r="C136" s="634" t="s">
        <v>686</v>
      </c>
      <c r="D136" s="633" t="s">
        <v>320</v>
      </c>
      <c r="H136" s="633">
        <f>+'First-Time Grad Rates'!B36</f>
        <v>139</v>
      </c>
      <c r="I136" s="633" t="str">
        <f>+'First-Time Grad Rates'!C36</f>
        <v>09.139.90</v>
      </c>
      <c r="J136" s="633" t="str">
        <f>+'First-Time Grad Rates'!E36</f>
        <v>Four-Year</v>
      </c>
      <c r="K136" s="633">
        <f>+'First-Time Grad Rates'!K36</f>
        <v>0.30535966149506349</v>
      </c>
      <c r="L136" s="636" t="str">
        <f>+'First-Time Grad Rates'!M36</f>
        <v>-</v>
      </c>
      <c r="M136" s="636"/>
      <c r="N136" s="636"/>
      <c r="O136" s="636"/>
      <c r="P136" s="636" t="str">
        <f>+'First-Time Grad Rates'!N36</f>
        <v>-</v>
      </c>
      <c r="Q136" s="636" t="str">
        <f>+'First-Time Grad Rates'!O36</f>
        <v>-</v>
      </c>
      <c r="R136" s="636" t="str">
        <f>+'First-Time Grad Rates'!P36</f>
        <v>-</v>
      </c>
      <c r="S136" s="636"/>
    </row>
    <row r="137" spans="1:19">
      <c r="A137">
        <v>132</v>
      </c>
      <c r="B137" s="633" t="str">
        <f>+'Campus Selector'!$G$3</f>
        <v>Canton</v>
      </c>
      <c r="C137" s="634" t="s">
        <v>686</v>
      </c>
      <c r="D137" s="633" t="s">
        <v>320</v>
      </c>
      <c r="H137" s="633">
        <f>+'First-Time Grad Rates'!B37</f>
        <v>140</v>
      </c>
      <c r="I137" s="633" t="str">
        <f>+'First-Time Grad Rates'!C37</f>
        <v>09.140.90</v>
      </c>
      <c r="J137" s="633" t="str">
        <f>+'First-Time Grad Rates'!E37</f>
        <v>Five-Year</v>
      </c>
      <c r="K137" s="633">
        <f>+'First-Time Grad Rates'!K37</f>
        <v>0</v>
      </c>
      <c r="L137" s="636" t="str">
        <f>+'First-Time Grad Rates'!M37</f>
        <v>-</v>
      </c>
      <c r="M137" s="636"/>
      <c r="N137" s="636"/>
      <c r="O137" s="636"/>
      <c r="P137" s="636" t="str">
        <f>+'First-Time Grad Rates'!N37</f>
        <v>-</v>
      </c>
      <c r="Q137" s="636" t="str">
        <f>+'First-Time Grad Rates'!O37</f>
        <v>-</v>
      </c>
      <c r="R137" s="636" t="str">
        <f>+'First-Time Grad Rates'!P37</f>
        <v>-</v>
      </c>
      <c r="S137" s="636"/>
    </row>
    <row r="138" spans="1:19">
      <c r="A138">
        <v>133</v>
      </c>
      <c r="B138" s="633" t="str">
        <f>+'Campus Selector'!$G$3</f>
        <v>Canton</v>
      </c>
      <c r="C138" s="634" t="s">
        <v>686</v>
      </c>
      <c r="D138" s="633" t="s">
        <v>320</v>
      </c>
      <c r="H138" s="633">
        <f>+'First-Time Grad Rates'!B38</f>
        <v>141</v>
      </c>
      <c r="I138" s="633" t="str">
        <f>+'First-Time Grad Rates'!C38</f>
        <v>09.141.90</v>
      </c>
      <c r="J138" s="633" t="str">
        <f>+'First-Time Grad Rates'!E38</f>
        <v>Six-Year</v>
      </c>
      <c r="K138" s="633">
        <f>+'First-Time Grad Rates'!K38</f>
        <v>0</v>
      </c>
      <c r="L138" s="636" t="str">
        <f>+'First-Time Grad Rates'!M38</f>
        <v>-</v>
      </c>
      <c r="M138" s="636"/>
      <c r="N138" s="636"/>
      <c r="O138" s="636"/>
      <c r="P138" s="636" t="str">
        <f>+'First-Time Grad Rates'!N38</f>
        <v>-</v>
      </c>
      <c r="Q138" s="636" t="str">
        <f>+'First-Time Grad Rates'!O38</f>
        <v>-</v>
      </c>
      <c r="R138" s="636" t="str">
        <f>+'First-Time Grad Rates'!P38</f>
        <v>-</v>
      </c>
      <c r="S138" s="636"/>
    </row>
    <row r="139" spans="1:19">
      <c r="A139">
        <v>134</v>
      </c>
      <c r="B139" s="633" t="str">
        <f>+'Campus Selector'!$G$3</f>
        <v>Canton</v>
      </c>
      <c r="C139" s="634" t="s">
        <v>686</v>
      </c>
      <c r="D139" s="633" t="s">
        <v>320</v>
      </c>
      <c r="H139" s="633">
        <f>+'First-Time Grad Rates'!B25</f>
        <v>364</v>
      </c>
      <c r="I139" s="633" t="str">
        <f>+'First-Time Grad Rates'!C25</f>
        <v>09.364.2-yr Public</v>
      </c>
      <c r="J139" s="633" t="str">
        <f>+'First-Time Grad Rates'!E25</f>
        <v>Three-Year</v>
      </c>
      <c r="K139" s="633">
        <f>+'First-Time Grad Rates'!K25</f>
        <v>0.19500000000000001</v>
      </c>
      <c r="L139" s="636" t="str">
        <f>+'First-Time Grad Rates'!M25</f>
        <v>-</v>
      </c>
      <c r="M139" s="636"/>
      <c r="N139" s="636"/>
      <c r="O139" s="636"/>
      <c r="P139" s="636" t="str">
        <f>+'First-Time Grad Rates'!N25</f>
        <v>-</v>
      </c>
      <c r="Q139" s="636" t="str">
        <f>+'First-Time Grad Rates'!O25</f>
        <v>-</v>
      </c>
      <c r="R139" s="636" t="str">
        <f>+'First-Time Grad Rates'!P25</f>
        <v>-</v>
      </c>
      <c r="S139" s="636"/>
    </row>
    <row r="140" spans="1:19">
      <c r="A140">
        <v>135</v>
      </c>
      <c r="B140" s="633" t="str">
        <f>+'Campus Selector'!$G$3</f>
        <v>Canton</v>
      </c>
      <c r="C140" s="634" t="s">
        <v>686</v>
      </c>
      <c r="D140" s="633" t="s">
        <v>320</v>
      </c>
      <c r="H140" s="633">
        <f>+'First-Time Grad Rates'!B41</f>
        <v>366</v>
      </c>
      <c r="I140" s="633" t="str">
        <f>+'First-Time Grad Rates'!C41</f>
        <v>09.366.4-yr Public</v>
      </c>
      <c r="J140" s="633" t="str">
        <f>+'First-Time Grad Rates'!E41</f>
        <v>Four-Year</v>
      </c>
      <c r="K140" s="633" t="str">
        <f>+'First-Time Grad Rates'!K41</f>
        <v>-</v>
      </c>
      <c r="L140" s="636" t="str">
        <f>+'First-Time Grad Rates'!M41</f>
        <v>-</v>
      </c>
      <c r="M140" s="636"/>
      <c r="N140" s="636"/>
      <c r="O140" s="636"/>
      <c r="P140" s="636" t="str">
        <f>+'First-Time Grad Rates'!N41</f>
        <v>-</v>
      </c>
      <c r="Q140" s="636" t="str">
        <f>+'First-Time Grad Rates'!O41</f>
        <v>-</v>
      </c>
      <c r="R140" s="636" t="str">
        <f>+'First-Time Grad Rates'!P41</f>
        <v>-</v>
      </c>
      <c r="S140" s="636"/>
    </row>
    <row r="141" spans="1:19">
      <c r="A141">
        <v>136</v>
      </c>
      <c r="B141" s="633" t="str">
        <f>+'Campus Selector'!$G$3</f>
        <v>Canton</v>
      </c>
      <c r="C141" s="634" t="s">
        <v>686</v>
      </c>
      <c r="D141" s="633" t="s">
        <v>320</v>
      </c>
      <c r="H141" s="633">
        <f>+'First-Time Grad Rates'!B42</f>
        <v>367</v>
      </c>
      <c r="I141" s="633" t="str">
        <f>+'First-Time Grad Rates'!C42</f>
        <v>09.367.4-yr Public</v>
      </c>
      <c r="J141" s="633" t="str">
        <f>+'First-Time Grad Rates'!E42</f>
        <v>Five-Year</v>
      </c>
      <c r="K141" s="633" t="str">
        <f>+'First-Time Grad Rates'!K42</f>
        <v>-</v>
      </c>
      <c r="L141" s="636" t="str">
        <f>+'First-Time Grad Rates'!M42</f>
        <v>-</v>
      </c>
      <c r="M141" s="636"/>
      <c r="N141" s="636"/>
      <c r="O141" s="636"/>
      <c r="P141" s="636" t="str">
        <f>+'First-Time Grad Rates'!N42</f>
        <v>-</v>
      </c>
      <c r="Q141" s="636" t="str">
        <f>+'First-Time Grad Rates'!O42</f>
        <v>-</v>
      </c>
      <c r="R141" s="636" t="str">
        <f>+'First-Time Grad Rates'!P42</f>
        <v>-</v>
      </c>
      <c r="S141" s="636"/>
    </row>
    <row r="142" spans="1:19">
      <c r="A142">
        <v>137</v>
      </c>
      <c r="B142" s="633" t="str">
        <f>+'Campus Selector'!$G$3</f>
        <v>Canton</v>
      </c>
      <c r="C142" s="634" t="s">
        <v>686</v>
      </c>
      <c r="D142" s="633" t="s">
        <v>320</v>
      </c>
      <c r="H142" s="633">
        <f>+'First-Time Grad Rates'!B43</f>
        <v>368</v>
      </c>
      <c r="I142" s="633" t="str">
        <f>+'First-Time Grad Rates'!C43</f>
        <v>09.368.4-yr Public</v>
      </c>
      <c r="J142" s="633" t="str">
        <f>+'First-Time Grad Rates'!E43</f>
        <v>Six-Year</v>
      </c>
      <c r="K142" s="633" t="str">
        <f>+'First-Time Grad Rates'!K43</f>
        <v>-</v>
      </c>
      <c r="L142" s="636" t="str">
        <f>+'First-Time Grad Rates'!M43</f>
        <v>-</v>
      </c>
      <c r="M142" s="636"/>
      <c r="N142" s="636"/>
      <c r="O142" s="636"/>
      <c r="P142" s="636" t="str">
        <f>+'First-Time Grad Rates'!N43</f>
        <v>-</v>
      </c>
      <c r="Q142" s="636" t="str">
        <f>+'First-Time Grad Rates'!O43</f>
        <v>-</v>
      </c>
      <c r="R142" s="636" t="str">
        <f>+'First-Time Grad Rates'!P43</f>
        <v>-</v>
      </c>
      <c r="S142" s="636"/>
    </row>
    <row r="143" spans="1:19">
      <c r="A143">
        <v>138</v>
      </c>
      <c r="L143" s="635"/>
      <c r="M143" s="635"/>
      <c r="N143" s="635"/>
      <c r="O143" s="635"/>
      <c r="P143" s="635"/>
      <c r="Q143" s="635"/>
      <c r="R143" s="635"/>
      <c r="S143" s="635"/>
    </row>
    <row r="144" spans="1:19">
      <c r="A144">
        <v>139</v>
      </c>
      <c r="B144" s="633" t="str">
        <f>+'Campus Selector'!$G$3</f>
        <v>Canton</v>
      </c>
      <c r="C144" s="634" t="s">
        <v>687</v>
      </c>
      <c r="D144" s="633" t="s">
        <v>291</v>
      </c>
      <c r="E144" s="633">
        <v>1</v>
      </c>
      <c r="F144" s="633">
        <v>303</v>
      </c>
      <c r="G144" s="633" t="b">
        <f t="shared" ref="G144:G151" si="3">+F144=H144</f>
        <v>1</v>
      </c>
      <c r="H144" s="633">
        <f>+'Transfer Grad Rates'!B14</f>
        <v>303</v>
      </c>
      <c r="I144" s="633" t="str">
        <f>+'Transfer Grad Rates'!C14</f>
        <v>10.303.25</v>
      </c>
      <c r="J144" s="633" t="str">
        <f>+'Transfer Grad Rates'!E14</f>
        <v>Initial Cohort</v>
      </c>
      <c r="K144" s="656">
        <f>+'Transfer Grad Rates'!K14</f>
        <v>149</v>
      </c>
      <c r="L144" s="636">
        <f>+'Transfer Grad Rates'!M14</f>
        <v>110</v>
      </c>
      <c r="M144" s="636"/>
      <c r="N144" s="636"/>
      <c r="O144" s="636"/>
      <c r="P144" s="636">
        <f>+'Transfer Grad Rates'!N14</f>
        <v>110</v>
      </c>
      <c r="Q144" s="636">
        <f>+'Transfer Grad Rates'!O14</f>
        <v>96</v>
      </c>
      <c r="R144" s="636">
        <f>+'Transfer Grad Rates'!P14</f>
        <v>100</v>
      </c>
      <c r="S144" s="636"/>
    </row>
    <row r="145" spans="1:19">
      <c r="A145">
        <v>140</v>
      </c>
      <c r="B145" s="633" t="str">
        <f>+'Campus Selector'!$G$3</f>
        <v>Canton</v>
      </c>
      <c r="C145" s="634" t="s">
        <v>687</v>
      </c>
      <c r="D145" s="633" t="s">
        <v>291</v>
      </c>
      <c r="E145" s="634">
        <v>2</v>
      </c>
      <c r="F145" s="633">
        <v>144</v>
      </c>
      <c r="G145" s="633" t="b">
        <f t="shared" si="3"/>
        <v>1</v>
      </c>
      <c r="H145" s="633">
        <f>+'Transfer Grad Rates'!B15</f>
        <v>144</v>
      </c>
      <c r="I145" s="633" t="str">
        <f>+'Transfer Grad Rates'!C15</f>
        <v>10.144.25</v>
      </c>
      <c r="J145" s="633" t="str">
        <f>+'Transfer Grad Rates'!E15</f>
        <v>One Year</v>
      </c>
      <c r="K145" s="633">
        <f>+'Transfer Grad Rates'!K15</f>
        <v>5.3691275167785234E-2</v>
      </c>
      <c r="L145" s="636">
        <f>+'Transfer Grad Rates'!M15</f>
        <v>9.0909090909090912E-2</v>
      </c>
      <c r="M145" s="636"/>
      <c r="N145" s="636"/>
      <c r="O145" s="636"/>
      <c r="P145" s="636">
        <f>+'Transfer Grad Rates'!N15</f>
        <v>0.1</v>
      </c>
      <c r="Q145" s="636">
        <f>+'Transfer Grad Rates'!O15</f>
        <v>0.12</v>
      </c>
      <c r="R145" s="636">
        <f>+'Transfer Grad Rates'!P15</f>
        <v>0.12</v>
      </c>
      <c r="S145" s="636"/>
    </row>
    <row r="146" spans="1:19">
      <c r="A146">
        <v>141</v>
      </c>
      <c r="B146" s="633" t="str">
        <f>+'Campus Selector'!$G$3</f>
        <v>Canton</v>
      </c>
      <c r="C146" s="634" t="s">
        <v>687</v>
      </c>
      <c r="D146" s="633" t="s">
        <v>291</v>
      </c>
      <c r="E146" s="633">
        <v>3</v>
      </c>
      <c r="F146" s="633">
        <v>145</v>
      </c>
      <c r="G146" s="633" t="b">
        <f t="shared" si="3"/>
        <v>1</v>
      </c>
      <c r="H146" s="633">
        <f>+'Transfer Grad Rates'!B16</f>
        <v>145</v>
      </c>
      <c r="I146" s="633" t="str">
        <f>+'Transfer Grad Rates'!C16</f>
        <v>10.145.25</v>
      </c>
      <c r="J146" s="633" t="str">
        <f>+'Transfer Grad Rates'!E16</f>
        <v>Two Year</v>
      </c>
      <c r="K146" s="633">
        <f>+'Transfer Grad Rates'!K16</f>
        <v>0.40939597315436244</v>
      </c>
      <c r="L146" s="636">
        <f>+'Transfer Grad Rates'!M16</f>
        <v>0.49090909090909091</v>
      </c>
      <c r="M146" s="636"/>
      <c r="N146" s="636"/>
      <c r="O146" s="636"/>
      <c r="P146" s="636">
        <f>+'Transfer Grad Rates'!N16</f>
        <v>0.49109999999999998</v>
      </c>
      <c r="Q146" s="636">
        <f>+'Transfer Grad Rates'!O16</f>
        <v>0.52</v>
      </c>
      <c r="R146" s="636">
        <f>+'Transfer Grad Rates'!P16</f>
        <v>0.53</v>
      </c>
      <c r="S146" s="636"/>
    </row>
    <row r="147" spans="1:19">
      <c r="A147">
        <v>142</v>
      </c>
      <c r="B147" s="633" t="str">
        <f>+'Campus Selector'!$G$3</f>
        <v>Canton</v>
      </c>
      <c r="C147" s="634" t="s">
        <v>687</v>
      </c>
      <c r="D147" s="633" t="s">
        <v>291</v>
      </c>
      <c r="E147" s="633">
        <v>4</v>
      </c>
      <c r="F147" s="633">
        <v>146</v>
      </c>
      <c r="G147" s="633" t="b">
        <f t="shared" si="3"/>
        <v>1</v>
      </c>
      <c r="H147" s="633">
        <f>+'Transfer Grad Rates'!B17</f>
        <v>146</v>
      </c>
      <c r="I147" s="633" t="str">
        <f>+'Transfer Grad Rates'!C17</f>
        <v>10.146.25</v>
      </c>
      <c r="J147" s="633" t="str">
        <f>+'Transfer Grad Rates'!E17</f>
        <v>Three Year</v>
      </c>
      <c r="K147" s="633">
        <f>+'Transfer Grad Rates'!K17</f>
        <v>0.52348993288590606</v>
      </c>
      <c r="L147" s="636" t="str">
        <f>+'Transfer Grad Rates'!M17</f>
        <v>-</v>
      </c>
      <c r="M147" s="636"/>
      <c r="N147" s="636"/>
      <c r="O147" s="636"/>
      <c r="P147" s="636">
        <f>+'Transfer Grad Rates'!N17</f>
        <v>0.6</v>
      </c>
      <c r="Q147" s="636">
        <f>+'Transfer Grad Rates'!O17</f>
        <v>0.62</v>
      </c>
      <c r="R147" s="636">
        <f>+'Transfer Grad Rates'!P17</f>
        <v>0.63</v>
      </c>
      <c r="S147" s="636"/>
    </row>
    <row r="148" spans="1:19">
      <c r="A148">
        <v>143</v>
      </c>
      <c r="B148" s="633" t="str">
        <f>+'Campus Selector'!$G$3</f>
        <v>Canton</v>
      </c>
      <c r="C148" s="634" t="s">
        <v>687</v>
      </c>
      <c r="D148" s="633" t="s">
        <v>291</v>
      </c>
      <c r="E148" s="633">
        <v>13</v>
      </c>
      <c r="F148" s="633">
        <v>302</v>
      </c>
      <c r="G148" s="633" t="b">
        <f t="shared" si="3"/>
        <v>1</v>
      </c>
      <c r="H148" s="633">
        <f>+'Transfer Grad Rates'!B26</f>
        <v>302</v>
      </c>
      <c r="I148" s="633" t="str">
        <f>+'Transfer Grad Rates'!C26</f>
        <v>10.302.25</v>
      </c>
      <c r="J148" s="633" t="str">
        <f>+'Transfer Grad Rates'!E26</f>
        <v>Initial Cohort</v>
      </c>
      <c r="K148" s="656">
        <f>+'Transfer Grad Rates'!K26</f>
        <v>90</v>
      </c>
      <c r="L148" s="636">
        <f>+'Transfer Grad Rates'!M26</f>
        <v>119</v>
      </c>
      <c r="M148" s="636"/>
      <c r="N148" s="636"/>
      <c r="O148" s="636"/>
      <c r="P148" s="636">
        <f>+'Transfer Grad Rates'!N26</f>
        <v>119</v>
      </c>
      <c r="Q148" s="636">
        <f>+'Transfer Grad Rates'!O26</f>
        <v>135</v>
      </c>
      <c r="R148" s="636">
        <f>+'Transfer Grad Rates'!P26</f>
        <v>172</v>
      </c>
      <c r="S148" s="636"/>
    </row>
    <row r="149" spans="1:19">
      <c r="A149">
        <v>144</v>
      </c>
      <c r="B149" s="633" t="str">
        <f>+'Campus Selector'!$G$3</f>
        <v>Canton</v>
      </c>
      <c r="C149" s="634" t="s">
        <v>687</v>
      </c>
      <c r="D149" s="633" t="s">
        <v>291</v>
      </c>
      <c r="E149" s="633">
        <v>14</v>
      </c>
      <c r="F149" s="633">
        <v>148</v>
      </c>
      <c r="G149" s="633" t="b">
        <f t="shared" si="3"/>
        <v>1</v>
      </c>
      <c r="H149" s="633">
        <f>+'Transfer Grad Rates'!B27</f>
        <v>148</v>
      </c>
      <c r="I149" s="633" t="str">
        <f>+'Transfer Grad Rates'!C27</f>
        <v>10.148.25</v>
      </c>
      <c r="J149" s="633" t="str">
        <f>+'Transfer Grad Rates'!E27</f>
        <v>Two Year</v>
      </c>
      <c r="K149" s="633">
        <f>+'Transfer Grad Rates'!K27</f>
        <v>0.23333333333333334</v>
      </c>
      <c r="L149" s="636">
        <f>+'Transfer Grad Rates'!M27</f>
        <v>0.19327731092436976</v>
      </c>
      <c r="M149" s="636"/>
      <c r="N149" s="636"/>
      <c r="O149" s="636"/>
      <c r="P149" s="636">
        <f>+'Transfer Grad Rates'!N27</f>
        <v>0.2</v>
      </c>
      <c r="Q149" s="636">
        <f>+'Transfer Grad Rates'!O27</f>
        <v>0.22</v>
      </c>
      <c r="R149" s="636">
        <f>+'Transfer Grad Rates'!P27</f>
        <v>0.23</v>
      </c>
      <c r="S149" s="636"/>
    </row>
    <row r="150" spans="1:19">
      <c r="A150">
        <v>145</v>
      </c>
      <c r="B150" s="633" t="str">
        <f>+'Campus Selector'!$G$3</f>
        <v>Canton</v>
      </c>
      <c r="C150" s="634" t="s">
        <v>687</v>
      </c>
      <c r="D150" s="633" t="s">
        <v>291</v>
      </c>
      <c r="E150" s="633">
        <v>15</v>
      </c>
      <c r="F150" s="633">
        <v>149</v>
      </c>
      <c r="G150" s="633" t="b">
        <f t="shared" si="3"/>
        <v>1</v>
      </c>
      <c r="H150" s="633">
        <f>+'Transfer Grad Rates'!B28</f>
        <v>149</v>
      </c>
      <c r="I150" s="633" t="str">
        <f>+'Transfer Grad Rates'!C28</f>
        <v>10.149.25</v>
      </c>
      <c r="J150" s="633" t="str">
        <f>+'Transfer Grad Rates'!E28</f>
        <v>Three Year</v>
      </c>
      <c r="K150" s="633">
        <f>+'Transfer Grad Rates'!K28</f>
        <v>0.52222222222222225</v>
      </c>
      <c r="L150" s="636">
        <f>+'Transfer Grad Rates'!M28</f>
        <v>0.43697478991596639</v>
      </c>
      <c r="M150" s="636"/>
      <c r="N150" s="636"/>
      <c r="O150" s="636"/>
      <c r="P150" s="636">
        <f>+'Transfer Grad Rates'!N28</f>
        <v>0.45800000000000002</v>
      </c>
      <c r="Q150" s="636">
        <f>+'Transfer Grad Rates'!O28</f>
        <v>0.47</v>
      </c>
      <c r="R150" s="636">
        <f>+'Transfer Grad Rates'!P28</f>
        <v>0.48</v>
      </c>
      <c r="S150" s="636"/>
    </row>
    <row r="151" spans="1:19">
      <c r="A151">
        <v>146</v>
      </c>
      <c r="B151" s="633" t="str">
        <f>+'Campus Selector'!$G$3</f>
        <v>Canton</v>
      </c>
      <c r="C151" s="634" t="s">
        <v>687</v>
      </c>
      <c r="D151" s="633" t="s">
        <v>291</v>
      </c>
      <c r="E151" s="633">
        <v>16</v>
      </c>
      <c r="F151" s="633">
        <v>150</v>
      </c>
      <c r="G151" s="633" t="b">
        <f t="shared" si="3"/>
        <v>1</v>
      </c>
      <c r="H151" s="633">
        <f>+'Transfer Grad Rates'!B29</f>
        <v>150</v>
      </c>
      <c r="I151" s="633" t="str">
        <f>+'Transfer Grad Rates'!C29</f>
        <v>10.150.25</v>
      </c>
      <c r="J151" s="633" t="str">
        <f>+'Transfer Grad Rates'!E29</f>
        <v>Four Year</v>
      </c>
      <c r="K151" s="633">
        <f>+'Transfer Grad Rates'!K29</f>
        <v>0.57777777777777772</v>
      </c>
      <c r="L151" s="636" t="str">
        <f>+'Transfer Grad Rates'!M29</f>
        <v>-</v>
      </c>
      <c r="M151" s="636"/>
      <c r="N151" s="636"/>
      <c r="O151" s="636"/>
      <c r="P151" s="636">
        <f>+'Transfer Grad Rates'!N29</f>
        <v>0.58299999999999996</v>
      </c>
      <c r="Q151" s="636">
        <f>+'Transfer Grad Rates'!O29</f>
        <v>0.59</v>
      </c>
      <c r="R151" s="636">
        <f>+'Transfer Grad Rates'!P29</f>
        <v>0.6</v>
      </c>
      <c r="S151" s="636"/>
    </row>
    <row r="152" spans="1:19">
      <c r="C152" s="634"/>
      <c r="K152" s="656"/>
      <c r="L152" s="636"/>
      <c r="M152" s="636"/>
      <c r="N152" s="636"/>
      <c r="O152" s="636"/>
      <c r="P152" s="636"/>
      <c r="Q152" s="636"/>
      <c r="R152" s="636"/>
      <c r="S152" s="636"/>
    </row>
    <row r="153" spans="1:19">
      <c r="C153" s="634"/>
      <c r="K153" s="656"/>
      <c r="L153" s="636"/>
      <c r="M153" s="636"/>
      <c r="N153" s="636"/>
      <c r="O153" s="636"/>
      <c r="P153" s="636"/>
      <c r="Q153" s="636"/>
      <c r="R153" s="636"/>
      <c r="S153" s="636"/>
    </row>
    <row r="154" spans="1:19">
      <c r="A154">
        <v>147</v>
      </c>
      <c r="B154" s="633" t="str">
        <f>+'Campus Selector'!$G$3</f>
        <v>Canton</v>
      </c>
      <c r="C154" s="634" t="s">
        <v>687</v>
      </c>
      <c r="D154" s="633" t="s">
        <v>291</v>
      </c>
      <c r="H154" s="633">
        <f>+'Transfer Grad Rates'!B20</f>
        <v>144</v>
      </c>
      <c r="I154" s="633" t="str">
        <f>+'Transfer Grad Rates'!C20</f>
        <v>10.144.90</v>
      </c>
      <c r="J154" s="633" t="str">
        <f>+'Transfer Grad Rates'!E20</f>
        <v>One Year</v>
      </c>
      <c r="K154" s="633">
        <f>+'Transfer Grad Rates'!K20</f>
        <v>3.8028169014084505E-2</v>
      </c>
      <c r="L154" s="636" t="str">
        <f>+'Transfer Grad Rates'!M20</f>
        <v>-</v>
      </c>
      <c r="M154" s="636"/>
      <c r="N154" s="636"/>
      <c r="O154" s="636"/>
      <c r="P154" s="636" t="str">
        <f>+'Transfer Grad Rates'!N20</f>
        <v>-</v>
      </c>
      <c r="Q154" s="636" t="str">
        <f>+'Transfer Grad Rates'!O20</f>
        <v>-</v>
      </c>
      <c r="R154" s="636" t="str">
        <f>+'Transfer Grad Rates'!P20</f>
        <v>-</v>
      </c>
      <c r="S154" s="636"/>
    </row>
    <row r="155" spans="1:19">
      <c r="A155">
        <v>148</v>
      </c>
      <c r="B155" s="633" t="str">
        <f>+'Campus Selector'!$G$3</f>
        <v>Canton</v>
      </c>
      <c r="C155" s="634" t="s">
        <v>687</v>
      </c>
      <c r="D155" s="633" t="s">
        <v>291</v>
      </c>
      <c r="H155" s="633">
        <f>+'Transfer Grad Rates'!B21</f>
        <v>145</v>
      </c>
      <c r="I155" s="633" t="str">
        <f>+'Transfer Grad Rates'!C21</f>
        <v>10.145.90</v>
      </c>
      <c r="J155" s="633" t="str">
        <f>+'Transfer Grad Rates'!E21</f>
        <v>Two Year</v>
      </c>
      <c r="K155" s="633">
        <f>+'Transfer Grad Rates'!K21</f>
        <v>0.36760563380281691</v>
      </c>
      <c r="L155" s="636" t="str">
        <f>+'Transfer Grad Rates'!M21</f>
        <v>-</v>
      </c>
      <c r="M155" s="636"/>
      <c r="N155" s="636"/>
      <c r="O155" s="636"/>
      <c r="P155" s="636" t="str">
        <f>+'Transfer Grad Rates'!N21</f>
        <v>-</v>
      </c>
      <c r="Q155" s="636" t="str">
        <f>+'Transfer Grad Rates'!O21</f>
        <v>-</v>
      </c>
      <c r="R155" s="636" t="str">
        <f>+'Transfer Grad Rates'!P21</f>
        <v>-</v>
      </c>
      <c r="S155" s="636"/>
    </row>
    <row r="156" spans="1:19">
      <c r="A156">
        <v>149</v>
      </c>
      <c r="B156" s="633" t="str">
        <f>+'Campus Selector'!$G$3</f>
        <v>Canton</v>
      </c>
      <c r="C156" s="634" t="s">
        <v>687</v>
      </c>
      <c r="D156" s="633" t="s">
        <v>291</v>
      </c>
      <c r="H156" s="633">
        <f>+'Transfer Grad Rates'!B22</f>
        <v>146</v>
      </c>
      <c r="I156" s="633" t="str">
        <f>+'Transfer Grad Rates'!C22</f>
        <v>10.146.90</v>
      </c>
      <c r="J156" s="633" t="str">
        <f>+'Transfer Grad Rates'!E22</f>
        <v>Three Year</v>
      </c>
      <c r="K156" s="633">
        <f>+'Transfer Grad Rates'!K22</f>
        <v>0.46901408450704224</v>
      </c>
      <c r="L156" s="636" t="str">
        <f>+'Transfer Grad Rates'!M22</f>
        <v>-</v>
      </c>
      <c r="M156" s="636"/>
      <c r="N156" s="636"/>
      <c r="O156" s="636"/>
      <c r="P156" s="636" t="str">
        <f>+'Transfer Grad Rates'!N22</f>
        <v>-</v>
      </c>
      <c r="Q156" s="636" t="str">
        <f>+'Transfer Grad Rates'!O22</f>
        <v>-</v>
      </c>
      <c r="R156" s="636" t="str">
        <f>+'Transfer Grad Rates'!P22</f>
        <v>-</v>
      </c>
      <c r="S156" s="636"/>
    </row>
    <row r="157" spans="1:19">
      <c r="A157">
        <v>150</v>
      </c>
      <c r="B157" s="633" t="str">
        <f>+'Campus Selector'!$G$3</f>
        <v>Canton</v>
      </c>
      <c r="C157" s="634" t="s">
        <v>687</v>
      </c>
      <c r="D157" s="633" t="s">
        <v>291</v>
      </c>
      <c r="H157" s="633">
        <f>+'Transfer Grad Rates'!B32</f>
        <v>148</v>
      </c>
      <c r="I157" s="633" t="str">
        <f>+'Transfer Grad Rates'!C32</f>
        <v>10.148.90</v>
      </c>
      <c r="J157" s="633" t="str">
        <f>+'Transfer Grad Rates'!E32</f>
        <v>Two Year</v>
      </c>
      <c r="K157" s="633">
        <f>+'Transfer Grad Rates'!K32</f>
        <v>0.20146520146520147</v>
      </c>
      <c r="L157" s="636" t="str">
        <f>+'Transfer Grad Rates'!M32</f>
        <v>-</v>
      </c>
      <c r="M157" s="636"/>
      <c r="N157" s="636"/>
      <c r="O157" s="636"/>
      <c r="P157" s="636" t="str">
        <f>+'Transfer Grad Rates'!N32</f>
        <v>-</v>
      </c>
      <c r="Q157" s="636" t="str">
        <f>+'Transfer Grad Rates'!O32</f>
        <v>-</v>
      </c>
      <c r="R157" s="636" t="str">
        <f>+'Transfer Grad Rates'!P32</f>
        <v>-</v>
      </c>
      <c r="S157" s="636"/>
    </row>
    <row r="158" spans="1:19">
      <c r="A158">
        <v>151</v>
      </c>
      <c r="B158" s="633" t="str">
        <f>+'Campus Selector'!$G$3</f>
        <v>Canton</v>
      </c>
      <c r="C158" s="634" t="s">
        <v>687</v>
      </c>
      <c r="D158" s="633" t="s">
        <v>291</v>
      </c>
      <c r="H158" s="633">
        <f>+'Transfer Grad Rates'!B33</f>
        <v>149</v>
      </c>
      <c r="I158" s="633" t="str">
        <f>+'Transfer Grad Rates'!C33</f>
        <v>10.149.90</v>
      </c>
      <c r="J158" s="633" t="str">
        <f>+'Transfer Grad Rates'!E33</f>
        <v>Three Year</v>
      </c>
      <c r="K158" s="633">
        <f>+'Transfer Grad Rates'!K33</f>
        <v>0.46080586080586078</v>
      </c>
      <c r="L158" s="636" t="str">
        <f>+'Transfer Grad Rates'!M33</f>
        <v>-</v>
      </c>
      <c r="M158" s="636"/>
      <c r="N158" s="636"/>
      <c r="O158" s="636"/>
      <c r="P158" s="636" t="str">
        <f>+'Transfer Grad Rates'!N33</f>
        <v>-</v>
      </c>
      <c r="Q158" s="636" t="str">
        <f>+'Transfer Grad Rates'!O33</f>
        <v>-</v>
      </c>
      <c r="R158" s="636" t="str">
        <f>+'Transfer Grad Rates'!P33</f>
        <v>-</v>
      </c>
      <c r="S158" s="636"/>
    </row>
    <row r="159" spans="1:19">
      <c r="A159">
        <v>152</v>
      </c>
      <c r="B159" s="633" t="str">
        <f>+'Campus Selector'!$G$3</f>
        <v>Canton</v>
      </c>
      <c r="C159" s="634" t="s">
        <v>687</v>
      </c>
      <c r="D159" s="633" t="s">
        <v>291</v>
      </c>
      <c r="H159" s="633">
        <f>+'Transfer Grad Rates'!B34</f>
        <v>150</v>
      </c>
      <c r="I159" s="633" t="str">
        <f>+'Transfer Grad Rates'!C34</f>
        <v>10.150.90</v>
      </c>
      <c r="J159" s="633" t="str">
        <f>+'Transfer Grad Rates'!E34</f>
        <v>Four Year</v>
      </c>
      <c r="K159" s="633">
        <f>+'Transfer Grad Rates'!K34</f>
        <v>0</v>
      </c>
      <c r="L159" s="636" t="str">
        <f>+'Transfer Grad Rates'!M34</f>
        <v>-</v>
      </c>
      <c r="M159" s="636"/>
      <c r="N159" s="636"/>
      <c r="O159" s="636"/>
      <c r="P159" s="636" t="str">
        <f>+'Transfer Grad Rates'!N34</f>
        <v>-</v>
      </c>
      <c r="Q159" s="636" t="str">
        <f>+'Transfer Grad Rates'!O34</f>
        <v>-</v>
      </c>
      <c r="R159" s="636" t="str">
        <f>+'Transfer Grad Rates'!P34</f>
        <v>-</v>
      </c>
      <c r="S159" s="636"/>
    </row>
    <row r="160" spans="1:19">
      <c r="A160">
        <v>153</v>
      </c>
      <c r="L160" s="635"/>
      <c r="M160" s="635"/>
      <c r="N160" s="635"/>
      <c r="O160" s="635"/>
      <c r="P160" s="635"/>
      <c r="Q160" s="635"/>
      <c r="R160" s="635"/>
      <c r="S160" s="635"/>
    </row>
    <row r="161" spans="1:19">
      <c r="A161">
        <v>154</v>
      </c>
      <c r="B161" s="633" t="str">
        <f>+'Campus Selector'!$G$3</f>
        <v>Canton</v>
      </c>
      <c r="C161" s="634" t="s">
        <v>688</v>
      </c>
      <c r="D161" s="633" t="s">
        <v>571</v>
      </c>
      <c r="E161" s="633">
        <v>1</v>
      </c>
      <c r="F161" s="633">
        <v>2</v>
      </c>
      <c r="H161" s="633">
        <f>+'Time Credits to Degree'!B10</f>
        <v>2</v>
      </c>
      <c r="I161" s="633" t="str">
        <f>+'Time Credits to Degree'!C10</f>
        <v>01.002.25</v>
      </c>
      <c r="J161" s="633" t="str">
        <f>+'Time Credits to Degree'!E10</f>
        <v>First-time (Native)</v>
      </c>
      <c r="K161" s="659">
        <f>+'Time Credits to Degree'!K10</f>
        <v>3.1202749140893502</v>
      </c>
      <c r="L161" s="635">
        <f>+'Time Credits to Degree'!K10</f>
        <v>3.1202749140893502</v>
      </c>
      <c r="M161" s="635"/>
      <c r="N161" s="635"/>
      <c r="O161" s="635"/>
      <c r="P161" s="635"/>
      <c r="Q161" s="635">
        <f>+'Time Credits to Degree'!M10</f>
        <v>3.05</v>
      </c>
      <c r="R161" s="635">
        <f>+'Time Credits to Degree'!N10</f>
        <v>3</v>
      </c>
      <c r="S161" s="635"/>
    </row>
    <row r="162" spans="1:19">
      <c r="A162">
        <v>155</v>
      </c>
      <c r="B162" s="633" t="str">
        <f>+'Campus Selector'!$G$3</f>
        <v>Canton</v>
      </c>
      <c r="C162" s="634" t="s">
        <v>688</v>
      </c>
      <c r="D162" s="633" t="s">
        <v>571</v>
      </c>
      <c r="E162" s="633">
        <v>2</v>
      </c>
      <c r="F162" s="633">
        <v>3</v>
      </c>
      <c r="H162" s="633">
        <f>+'Time Credits to Degree'!B11</f>
        <v>3</v>
      </c>
      <c r="I162" s="633" t="str">
        <f>+'Time Credits to Degree'!C11</f>
        <v>01.003.25</v>
      </c>
      <c r="J162" s="633" t="str">
        <f>+'Time Credits to Degree'!E11</f>
        <v>Transfers In</v>
      </c>
      <c r="K162" s="659">
        <f>+'Time Credits to Degree'!K11</f>
        <v>2.8259259259259299</v>
      </c>
      <c r="L162" s="635">
        <f>+'Time Credits to Degree'!K11</f>
        <v>2.8259259259259299</v>
      </c>
      <c r="M162" s="635"/>
      <c r="N162" s="635"/>
      <c r="O162" s="635"/>
      <c r="P162" s="635"/>
      <c r="Q162" s="635">
        <f>+'Time Credits to Degree'!M11</f>
        <v>2.6</v>
      </c>
      <c r="R162" s="635">
        <f>+'Time Credits to Degree'!N11</f>
        <v>2.5</v>
      </c>
      <c r="S162" s="635"/>
    </row>
    <row r="163" spans="1:19">
      <c r="A163">
        <v>156</v>
      </c>
      <c r="B163" s="633" t="str">
        <f>+'Campus Selector'!$G$3</f>
        <v>Canton</v>
      </c>
      <c r="C163" s="634" t="s">
        <v>688</v>
      </c>
      <c r="D163" s="633" t="s">
        <v>571</v>
      </c>
      <c r="E163" s="633">
        <v>3</v>
      </c>
      <c r="F163" s="633">
        <v>5</v>
      </c>
      <c r="H163" s="633">
        <f>+'Time Credits to Degree'!B18</f>
        <v>5</v>
      </c>
      <c r="I163" s="633" t="str">
        <f>+'Time Credits to Degree'!C18</f>
        <v>01.005.25</v>
      </c>
      <c r="J163" s="633" t="str">
        <f>+'Time Credits to Degree'!E18</f>
        <v>First-time (Native)</v>
      </c>
      <c r="K163" s="633">
        <f>+'Time Credits to Degree'!K18</f>
        <v>70.920833333333306</v>
      </c>
      <c r="L163" s="635">
        <f>+'Time Credits to Degree'!K18</f>
        <v>70.920833333333306</v>
      </c>
      <c r="M163" s="635"/>
      <c r="N163" s="635"/>
      <c r="O163" s="635"/>
      <c r="P163" s="635"/>
      <c r="Q163" s="635">
        <f>+'Time Credits to Degree'!M18</f>
        <v>68</v>
      </c>
      <c r="R163" s="635">
        <f>+'Time Credits to Degree'!N18</f>
        <v>66</v>
      </c>
      <c r="S163" s="635"/>
    </row>
    <row r="164" spans="1:19">
      <c r="A164">
        <v>157</v>
      </c>
      <c r="B164" s="633" t="str">
        <f>+'Campus Selector'!$G$3</f>
        <v>Canton</v>
      </c>
      <c r="C164" s="634" t="s">
        <v>688</v>
      </c>
      <c r="D164" s="633" t="s">
        <v>571</v>
      </c>
      <c r="E164" s="633">
        <v>4</v>
      </c>
      <c r="F164" s="633">
        <v>6</v>
      </c>
      <c r="H164" s="633">
        <f>+'Time Credits to Degree'!B19</f>
        <v>6</v>
      </c>
      <c r="I164" s="633" t="str">
        <f>+'Time Credits to Degree'!C19</f>
        <v>01.006.25</v>
      </c>
      <c r="J164" s="633" t="str">
        <f>+'Time Credits to Degree'!E19</f>
        <v>Transfers In</v>
      </c>
      <c r="K164" s="633">
        <f>+'Time Credits to Degree'!K19</f>
        <v>74.415094339622598</v>
      </c>
      <c r="L164" s="635">
        <f>+'Time Credits to Degree'!K19</f>
        <v>74.415094339622598</v>
      </c>
      <c r="M164" s="635"/>
      <c r="N164" s="635"/>
      <c r="O164" s="635"/>
      <c r="P164" s="635"/>
      <c r="Q164" s="635">
        <f>+'Time Credits to Degree'!M19</f>
        <v>73</v>
      </c>
      <c r="R164" s="635">
        <f>+'Time Credits to Degree'!N19</f>
        <v>72</v>
      </c>
      <c r="S164" s="635"/>
    </row>
    <row r="165" spans="1:19">
      <c r="A165">
        <v>158</v>
      </c>
      <c r="B165" s="633" t="str">
        <f>+'Campus Selector'!$G$3</f>
        <v>Canton</v>
      </c>
      <c r="C165" s="634" t="s">
        <v>688</v>
      </c>
      <c r="D165" s="633" t="s">
        <v>571</v>
      </c>
      <c r="E165" s="633">
        <v>5</v>
      </c>
      <c r="F165" s="633">
        <v>12</v>
      </c>
      <c r="H165" s="633">
        <f>+'Time Credits to Degree'!B26</f>
        <v>12</v>
      </c>
      <c r="I165" s="633" t="str">
        <f>+'Time Credits to Degree'!C26</f>
        <v>01.012.25</v>
      </c>
      <c r="J165" s="633" t="str">
        <f>+'Time Credits to Degree'!E26</f>
        <v>First-time (Native)</v>
      </c>
      <c r="K165" s="659">
        <f>+'Time Credits to Degree'!K26</f>
        <v>5.26893939393939</v>
      </c>
      <c r="L165" s="635">
        <f>+'Time Credits to Degree'!K26</f>
        <v>5.26893939393939</v>
      </c>
      <c r="M165" s="635"/>
      <c r="N165" s="635"/>
      <c r="O165" s="635"/>
      <c r="P165" s="635"/>
      <c r="Q165" s="635">
        <f>+'Time Credits to Degree'!M26</f>
        <v>5.12</v>
      </c>
      <c r="R165" s="635">
        <f>+'Time Credits to Degree'!N26</f>
        <v>4.9000000000000004</v>
      </c>
      <c r="S165" s="635"/>
    </row>
    <row r="166" spans="1:19">
      <c r="A166">
        <v>159</v>
      </c>
      <c r="B166" s="633" t="str">
        <f>+'Campus Selector'!$G$3</f>
        <v>Canton</v>
      </c>
      <c r="C166" s="634" t="s">
        <v>688</v>
      </c>
      <c r="D166" s="633" t="s">
        <v>571</v>
      </c>
      <c r="E166" s="633">
        <v>6</v>
      </c>
      <c r="F166" s="633">
        <v>13</v>
      </c>
      <c r="H166" s="633">
        <f>+'Time Credits to Degree'!B27</f>
        <v>13</v>
      </c>
      <c r="I166" s="633" t="str">
        <f>+'Time Credits to Degree'!C27</f>
        <v>01.013.25</v>
      </c>
      <c r="J166" s="633" t="str">
        <f>+'Time Credits to Degree'!E27</f>
        <v>Transfers In</v>
      </c>
      <c r="K166" s="659">
        <f>+'Time Credits to Degree'!K27</f>
        <v>3.415</v>
      </c>
      <c r="L166" s="635">
        <f>+'Time Credits to Degree'!K27</f>
        <v>3.415</v>
      </c>
      <c r="M166" s="635"/>
      <c r="N166" s="635"/>
      <c r="O166" s="635"/>
      <c r="P166" s="635"/>
      <c r="Q166" s="635">
        <f>+'Time Credits to Degree'!M27</f>
        <v>3.3</v>
      </c>
      <c r="R166" s="635">
        <f>+'Time Credits to Degree'!N27</f>
        <v>3.2</v>
      </c>
      <c r="S166" s="635"/>
    </row>
    <row r="167" spans="1:19">
      <c r="A167">
        <v>160</v>
      </c>
      <c r="B167" s="633" t="str">
        <f>+'Campus Selector'!$G$3</f>
        <v>Canton</v>
      </c>
      <c r="C167" s="634" t="s">
        <v>688</v>
      </c>
      <c r="D167" s="633" t="s">
        <v>571</v>
      </c>
      <c r="E167" s="633">
        <v>7</v>
      </c>
      <c r="F167" s="633">
        <v>15</v>
      </c>
      <c r="H167" s="633">
        <f>+'Time Credits to Degree'!B34</f>
        <v>15</v>
      </c>
      <c r="I167" s="633" t="str">
        <f>+'Time Credits to Degree'!C34</f>
        <v>01.015.25</v>
      </c>
      <c r="J167" s="633" t="str">
        <f>+'Time Credits to Degree'!E34</f>
        <v>First-time (Native)</v>
      </c>
      <c r="K167" s="633">
        <f>+'Time Credits to Degree'!K34</f>
        <v>132.34375</v>
      </c>
      <c r="L167" s="635">
        <f>+'Time Credits to Degree'!K34</f>
        <v>132.34375</v>
      </c>
      <c r="M167" s="635"/>
      <c r="N167" s="635"/>
      <c r="O167" s="635"/>
      <c r="P167" s="635"/>
      <c r="Q167" s="635">
        <f>+'Time Credits to Degree'!M34</f>
        <v>131</v>
      </c>
      <c r="R167" s="635">
        <f>+'Time Credits to Degree'!N34</f>
        <v>130</v>
      </c>
      <c r="S167" s="635"/>
    </row>
    <row r="168" spans="1:19">
      <c r="A168">
        <v>161</v>
      </c>
      <c r="B168" s="633" t="str">
        <f>+'Campus Selector'!$G$3</f>
        <v>Canton</v>
      </c>
      <c r="C168" s="634" t="s">
        <v>688</v>
      </c>
      <c r="D168" s="633" t="s">
        <v>571</v>
      </c>
      <c r="E168" s="633">
        <v>8</v>
      </c>
      <c r="F168" s="633">
        <v>16</v>
      </c>
      <c r="H168" s="633">
        <f>+'Time Credits to Degree'!B35</f>
        <v>16</v>
      </c>
      <c r="I168" s="633" t="str">
        <f>+'Time Credits to Degree'!C35</f>
        <v>01.016.25</v>
      </c>
      <c r="J168" s="633" t="str">
        <f>+'Time Credits to Degree'!E35</f>
        <v>Transfers In</v>
      </c>
      <c r="K168" s="633">
        <f>+'Time Credits to Degree'!K35</f>
        <v>141.64516129032299</v>
      </c>
      <c r="L168" s="635">
        <f>+'Time Credits to Degree'!K35</f>
        <v>141.64516129032299</v>
      </c>
      <c r="M168" s="635"/>
      <c r="N168" s="635"/>
      <c r="O168" s="635"/>
      <c r="P168" s="635"/>
      <c r="Q168" s="635">
        <f>+'Time Credits to Degree'!M35</f>
        <v>137</v>
      </c>
      <c r="R168" s="635">
        <f>+'Time Credits to Degree'!N35</f>
        <v>135</v>
      </c>
      <c r="S168" s="635"/>
    </row>
    <row r="169" spans="1:19">
      <c r="C169" s="634"/>
      <c r="L169" s="635"/>
      <c r="M169" s="635"/>
      <c r="N169" s="635"/>
      <c r="O169" s="635"/>
      <c r="P169" s="635"/>
      <c r="Q169" s="635"/>
      <c r="R169" s="635"/>
      <c r="S169" s="635"/>
    </row>
    <row r="170" spans="1:19">
      <c r="A170">
        <v>162</v>
      </c>
      <c r="B170" s="633" t="str">
        <f>+'Campus Selector'!$G$3</f>
        <v>Canton</v>
      </c>
      <c r="C170" s="634" t="s">
        <v>688</v>
      </c>
      <c r="D170" s="633" t="s">
        <v>571</v>
      </c>
      <c r="H170" s="633">
        <f>+'Time Credits to Degree'!B13</f>
        <v>2</v>
      </c>
      <c r="I170" s="633" t="str">
        <f>+'Time Credits to Degree'!C13</f>
        <v>01.002.90</v>
      </c>
      <c r="J170" s="633" t="str">
        <f>+'Time Credits to Degree'!E13</f>
        <v>First-time (Native)</v>
      </c>
      <c r="K170" s="659">
        <f>+'Time Credits to Degree'!K13</f>
        <v>2.9214997070884601</v>
      </c>
      <c r="L170" s="635">
        <f>+'Time Credits to Degree'!K13</f>
        <v>2.9214997070884601</v>
      </c>
      <c r="M170" s="635"/>
      <c r="N170" s="635"/>
      <c r="O170" s="635"/>
      <c r="P170" s="635"/>
      <c r="Q170" s="635" t="str">
        <f>+'Time Credits to Degree'!M13</f>
        <v>-</v>
      </c>
      <c r="R170" s="635" t="str">
        <f>+'Time Credits to Degree'!N13</f>
        <v>-</v>
      </c>
      <c r="S170" s="635"/>
    </row>
    <row r="171" spans="1:19">
      <c r="A171">
        <v>163</v>
      </c>
      <c r="B171" s="633" t="str">
        <f>+'Campus Selector'!$G$3</f>
        <v>Canton</v>
      </c>
      <c r="C171" s="634" t="s">
        <v>688</v>
      </c>
      <c r="D171" s="633" t="s">
        <v>571</v>
      </c>
      <c r="H171" s="633">
        <f>+'Time Credits to Degree'!B14</f>
        <v>3</v>
      </c>
      <c r="I171" s="633" t="str">
        <f>+'Time Credits to Degree'!C14</f>
        <v>01.003.90</v>
      </c>
      <c r="J171" s="633" t="str">
        <f>+'Time Credits to Degree'!E14</f>
        <v>Transfers In</v>
      </c>
      <c r="K171" s="659">
        <f>+'Time Credits to Degree'!K14</f>
        <v>2.69587628865979</v>
      </c>
      <c r="L171" s="635">
        <f>+'Time Credits to Degree'!K14</f>
        <v>2.69587628865979</v>
      </c>
      <c r="M171" s="635"/>
      <c r="N171" s="635"/>
      <c r="O171" s="635"/>
      <c r="P171" s="635"/>
      <c r="Q171" s="635" t="str">
        <f>+'Time Credits to Degree'!M14</f>
        <v>-</v>
      </c>
      <c r="R171" s="635" t="str">
        <f>+'Time Credits to Degree'!N14</f>
        <v>-</v>
      </c>
      <c r="S171" s="635"/>
    </row>
    <row r="172" spans="1:19">
      <c r="A172">
        <v>164</v>
      </c>
      <c r="B172" s="633" t="str">
        <f>+'Campus Selector'!$G$3</f>
        <v>Canton</v>
      </c>
      <c r="C172" s="634" t="s">
        <v>688</v>
      </c>
      <c r="D172" s="633" t="s">
        <v>571</v>
      </c>
      <c r="H172" s="633">
        <f>+'Time Credits to Degree'!B21</f>
        <v>5</v>
      </c>
      <c r="I172" s="633" t="str">
        <f>+'Time Credits to Degree'!C21</f>
        <v>01.005.90</v>
      </c>
      <c r="J172" s="633" t="str">
        <f>+'Time Credits to Degree'!E21</f>
        <v>First-time (Native)</v>
      </c>
      <c r="K172" s="633">
        <f>+'Time Credits to Degree'!K21</f>
        <v>70.388811188811204</v>
      </c>
      <c r="L172" s="635">
        <f>+'Time Credits to Degree'!K21</f>
        <v>70.388811188811204</v>
      </c>
      <c r="M172" s="635"/>
      <c r="N172" s="635"/>
      <c r="O172" s="635"/>
      <c r="P172" s="635"/>
      <c r="Q172" s="635" t="str">
        <f>+'Time Credits to Degree'!M21</f>
        <v>-</v>
      </c>
      <c r="R172" s="635" t="str">
        <f>+'Time Credits to Degree'!N21</f>
        <v>-</v>
      </c>
      <c r="S172" s="635"/>
    </row>
    <row r="173" spans="1:19">
      <c r="A173">
        <v>165</v>
      </c>
      <c r="B173" s="633" t="str">
        <f>+'Campus Selector'!$G$3</f>
        <v>Canton</v>
      </c>
      <c r="C173" s="634" t="s">
        <v>688</v>
      </c>
      <c r="D173" s="633" t="s">
        <v>571</v>
      </c>
      <c r="H173" s="633">
        <f>+'Time Credits to Degree'!B22</f>
        <v>6</v>
      </c>
      <c r="I173" s="633" t="str">
        <f>+'Time Credits to Degree'!C22</f>
        <v>01.006.90</v>
      </c>
      <c r="J173" s="633" t="str">
        <f>+'Time Credits to Degree'!E22</f>
        <v>Transfers In</v>
      </c>
      <c r="K173" s="633">
        <f>+'Time Credits to Degree'!K22</f>
        <v>74.962857142857203</v>
      </c>
      <c r="L173" s="635">
        <f>+'Time Credits to Degree'!K22</f>
        <v>74.962857142857203</v>
      </c>
      <c r="M173" s="635"/>
      <c r="N173" s="635"/>
      <c r="O173" s="635"/>
      <c r="P173" s="635"/>
      <c r="Q173" s="635" t="str">
        <f>+'Time Credits to Degree'!M22</f>
        <v>-</v>
      </c>
      <c r="R173" s="635" t="str">
        <f>+'Time Credits to Degree'!N22</f>
        <v>-</v>
      </c>
      <c r="S173" s="635"/>
    </row>
    <row r="174" spans="1:19">
      <c r="A174">
        <v>166</v>
      </c>
      <c r="B174" s="633" t="str">
        <f>+'Campus Selector'!$G$3</f>
        <v>Canton</v>
      </c>
      <c r="C174" s="634" t="s">
        <v>688</v>
      </c>
      <c r="D174" s="633" t="s">
        <v>571</v>
      </c>
      <c r="H174" s="633">
        <f>+'Time Credits to Degree'!B29</f>
        <v>12</v>
      </c>
      <c r="I174" s="633" t="str">
        <f>+'Time Credits to Degree'!C29</f>
        <v>01.012.90</v>
      </c>
      <c r="J174" s="633" t="str">
        <f>+'Time Credits to Degree'!E29</f>
        <v>First-time (Native)</v>
      </c>
      <c r="K174" s="659">
        <f>+'Time Credits to Degree'!K29</f>
        <v>4.8248663101604299</v>
      </c>
      <c r="L174" s="635">
        <f>+'Time Credits to Degree'!K29</f>
        <v>4.8248663101604299</v>
      </c>
      <c r="M174" s="635"/>
      <c r="N174" s="635"/>
      <c r="O174" s="635"/>
      <c r="P174" s="635"/>
      <c r="Q174" s="635" t="str">
        <f>+'Time Credits to Degree'!M29</f>
        <v>-</v>
      </c>
      <c r="R174" s="635" t="str">
        <f>+'Time Credits to Degree'!N29</f>
        <v>-</v>
      </c>
      <c r="S174" s="635"/>
    </row>
    <row r="175" spans="1:19">
      <c r="A175">
        <v>167</v>
      </c>
      <c r="B175" s="633" t="str">
        <f>+'Campus Selector'!$G$3</f>
        <v>Canton</v>
      </c>
      <c r="C175" s="634" t="s">
        <v>688</v>
      </c>
      <c r="D175" s="633" t="s">
        <v>571</v>
      </c>
      <c r="H175" s="633">
        <f>+'Time Credits to Degree'!B30</f>
        <v>13</v>
      </c>
      <c r="I175" s="633" t="str">
        <f>+'Time Credits to Degree'!C30</f>
        <v>01.013.90</v>
      </c>
      <c r="J175" s="633" t="str">
        <f>+'Time Credits to Degree'!E30</f>
        <v>Transfers In</v>
      </c>
      <c r="K175" s="659">
        <f>+'Time Credits to Degree'!K30</f>
        <v>3.2224757558471202</v>
      </c>
      <c r="L175" s="635">
        <f>+'Time Credits to Degree'!K30</f>
        <v>3.2224757558471202</v>
      </c>
      <c r="M175" s="635"/>
      <c r="N175" s="635"/>
      <c r="O175" s="635"/>
      <c r="P175" s="635"/>
      <c r="Q175" s="635" t="str">
        <f>+'Time Credits to Degree'!M30</f>
        <v>-</v>
      </c>
      <c r="R175" s="635" t="str">
        <f>+'Time Credits to Degree'!N30</f>
        <v>-</v>
      </c>
      <c r="S175" s="635"/>
    </row>
    <row r="176" spans="1:19">
      <c r="A176">
        <v>168</v>
      </c>
      <c r="B176" s="633" t="str">
        <f>+'Campus Selector'!$G$3</f>
        <v>Canton</v>
      </c>
      <c r="C176" s="634" t="s">
        <v>688</v>
      </c>
      <c r="D176" s="633" t="s">
        <v>571</v>
      </c>
      <c r="H176" s="633">
        <f>+'Time Credits to Degree'!B37</f>
        <v>15</v>
      </c>
      <c r="I176" s="633" t="str">
        <f>+'Time Credits to Degree'!C37</f>
        <v>01.015.90</v>
      </c>
      <c r="J176" s="633" t="str">
        <f>+'Time Credits to Degree'!E37</f>
        <v>First-time (Native)</v>
      </c>
      <c r="K176" s="633">
        <f>+'Time Credits to Degree'!K37</f>
        <v>137.11591220850499</v>
      </c>
      <c r="L176" s="635">
        <f>+'Time Credits to Degree'!K37</f>
        <v>137.11591220850499</v>
      </c>
      <c r="M176" s="635"/>
      <c r="N176" s="635"/>
      <c r="O176" s="635"/>
      <c r="P176" s="635"/>
      <c r="Q176" s="635" t="str">
        <f>+'Time Credits to Degree'!M37</f>
        <v>-</v>
      </c>
      <c r="R176" s="635" t="str">
        <f>+'Time Credits to Degree'!N37</f>
        <v>-</v>
      </c>
      <c r="S176" s="635"/>
    </row>
    <row r="177" spans="1:19">
      <c r="A177">
        <v>169</v>
      </c>
      <c r="B177" s="633" t="str">
        <f>+'Campus Selector'!$G$3</f>
        <v>Canton</v>
      </c>
      <c r="C177" s="634" t="s">
        <v>688</v>
      </c>
      <c r="D177" s="633" t="s">
        <v>571</v>
      </c>
      <c r="H177" s="633">
        <f>+'Time Credits to Degree'!B38</f>
        <v>16</v>
      </c>
      <c r="I177" s="633" t="str">
        <f>+'Time Credits to Degree'!C38</f>
        <v>01.016.90</v>
      </c>
      <c r="J177" s="633" t="str">
        <f>+'Time Credits to Degree'!E38</f>
        <v>Transfers In</v>
      </c>
      <c r="K177" s="633">
        <f>+'Time Credits to Degree'!K38</f>
        <v>136.19663970130699</v>
      </c>
      <c r="L177" s="635">
        <f>+'Time Credits to Degree'!K38</f>
        <v>136.19663970130699</v>
      </c>
      <c r="M177" s="635"/>
      <c r="N177" s="635"/>
      <c r="O177" s="635"/>
      <c r="P177" s="635"/>
      <c r="Q177" s="635" t="str">
        <f>+'Time Credits to Degree'!M38</f>
        <v>-</v>
      </c>
      <c r="R177" s="635" t="str">
        <f>+'Time Credits to Degree'!N38</f>
        <v>-</v>
      </c>
      <c r="S177" s="635"/>
    </row>
    <row r="178" spans="1:19">
      <c r="A178">
        <v>170</v>
      </c>
      <c r="L178" s="635"/>
      <c r="M178" s="635"/>
      <c r="N178" s="635"/>
      <c r="O178" s="635"/>
      <c r="P178" s="635"/>
      <c r="Q178" s="635"/>
      <c r="R178" s="635"/>
      <c r="S178" s="635"/>
    </row>
    <row r="179" spans="1:19">
      <c r="A179">
        <v>171</v>
      </c>
      <c r="B179" s="633" t="str">
        <f>+'Campus Selector'!$G$3</f>
        <v>Canton</v>
      </c>
      <c r="C179" s="634" t="s">
        <v>689</v>
      </c>
      <c r="D179" s="633" t="s">
        <v>479</v>
      </c>
      <c r="E179" s="633">
        <v>1</v>
      </c>
      <c r="F179" s="633">
        <v>180</v>
      </c>
      <c r="G179" s="633" t="e">
        <f t="shared" ref="G179:G190" si="4">+F179=H179</f>
        <v>#REF!</v>
      </c>
      <c r="H179" s="633" t="e">
        <f>+#REF!</f>
        <v>#REF!</v>
      </c>
      <c r="I179" s="633" t="e">
        <f>+#REF!</f>
        <v>#REF!</v>
      </c>
      <c r="J179" s="633" t="e">
        <f>+#REF!</f>
        <v>#REF!</v>
      </c>
      <c r="K179" s="656" t="e">
        <f>+#REF!</f>
        <v>#REF!</v>
      </c>
      <c r="L179" s="637" t="e">
        <f>+#REF!</f>
        <v>#REF!</v>
      </c>
      <c r="M179" s="637"/>
      <c r="N179" s="637"/>
      <c r="O179" s="637"/>
      <c r="P179" s="637" t="e">
        <f>+#REF!</f>
        <v>#REF!</v>
      </c>
      <c r="Q179" s="637" t="e">
        <f>+#REF!</f>
        <v>#REF!</v>
      </c>
      <c r="R179" s="637" t="e">
        <f>+#REF!</f>
        <v>#REF!</v>
      </c>
      <c r="S179" s="637"/>
    </row>
    <row r="180" spans="1:19">
      <c r="A180">
        <v>172</v>
      </c>
      <c r="B180" s="633" t="str">
        <f>+'Campus Selector'!$G$3</f>
        <v>Canton</v>
      </c>
      <c r="C180" s="634" t="s">
        <v>689</v>
      </c>
      <c r="D180" s="633" t="s">
        <v>479</v>
      </c>
      <c r="E180" s="633">
        <v>2</v>
      </c>
      <c r="F180" s="633">
        <v>182</v>
      </c>
      <c r="G180" s="633" t="e">
        <f t="shared" si="4"/>
        <v>#REF!</v>
      </c>
      <c r="H180" s="633" t="e">
        <f>+#REF!</f>
        <v>#REF!</v>
      </c>
      <c r="I180" s="633" t="e">
        <f>+#REF!</f>
        <v>#REF!</v>
      </c>
      <c r="J180" s="633" t="e">
        <f>+#REF!</f>
        <v>#REF!</v>
      </c>
      <c r="K180" s="656" t="e">
        <f>+#REF!</f>
        <v>#REF!</v>
      </c>
      <c r="L180" s="637" t="e">
        <f>+#REF!</f>
        <v>#REF!</v>
      </c>
      <c r="M180" s="637"/>
      <c r="N180" s="637"/>
      <c r="O180" s="637"/>
      <c r="P180" s="637" t="e">
        <f>+#REF!</f>
        <v>#REF!</v>
      </c>
      <c r="Q180" s="637" t="e">
        <f>+#REF!</f>
        <v>#REF!</v>
      </c>
      <c r="R180" s="637" t="e">
        <f>+#REF!</f>
        <v>#REF!</v>
      </c>
      <c r="S180" s="637"/>
    </row>
    <row r="181" spans="1:19">
      <c r="A181">
        <v>173</v>
      </c>
      <c r="B181" s="633" t="str">
        <f>+'Campus Selector'!$G$3</f>
        <v>Canton</v>
      </c>
      <c r="C181" s="634" t="s">
        <v>689</v>
      </c>
      <c r="D181" s="633" t="s">
        <v>479</v>
      </c>
      <c r="E181" s="633">
        <v>3</v>
      </c>
      <c r="F181" s="633">
        <v>186</v>
      </c>
      <c r="G181" s="633" t="e">
        <f t="shared" si="4"/>
        <v>#REF!</v>
      </c>
      <c r="H181" s="633" t="e">
        <f>+#REF!</f>
        <v>#REF!</v>
      </c>
      <c r="I181" s="633" t="e">
        <f>+#REF!</f>
        <v>#REF!</v>
      </c>
      <c r="J181" s="633" t="e">
        <f>+#REF!</f>
        <v>#REF!</v>
      </c>
      <c r="K181" s="656" t="e">
        <f>+#REF!</f>
        <v>#REF!</v>
      </c>
      <c r="L181" s="637" t="e">
        <f>+#REF!</f>
        <v>#REF!</v>
      </c>
      <c r="M181" s="637"/>
      <c r="N181" s="637"/>
      <c r="O181" s="637"/>
      <c r="P181" s="637" t="e">
        <f>+#REF!</f>
        <v>#REF!</v>
      </c>
      <c r="Q181" s="637" t="e">
        <f>+#REF!</f>
        <v>#REF!</v>
      </c>
      <c r="R181" s="637" t="e">
        <f>+#REF!</f>
        <v>#REF!</v>
      </c>
      <c r="S181" s="637"/>
    </row>
    <row r="182" spans="1:19">
      <c r="A182">
        <v>174</v>
      </c>
      <c r="B182" s="633" t="str">
        <f>+'Campus Selector'!$G$3</f>
        <v>Canton</v>
      </c>
      <c r="C182" s="634" t="s">
        <v>689</v>
      </c>
      <c r="D182" s="633" t="s">
        <v>479</v>
      </c>
      <c r="E182" s="633">
        <v>4</v>
      </c>
      <c r="F182" s="633">
        <v>183</v>
      </c>
      <c r="G182" s="633" t="e">
        <f t="shared" si="4"/>
        <v>#REF!</v>
      </c>
      <c r="H182" s="633" t="e">
        <f>+#REF!</f>
        <v>#REF!</v>
      </c>
      <c r="I182" s="633" t="e">
        <f>+#REF!</f>
        <v>#REF!</v>
      </c>
      <c r="J182" s="633" t="e">
        <f>+#REF!</f>
        <v>#REF!</v>
      </c>
      <c r="K182" s="656" t="e">
        <f>+#REF!</f>
        <v>#REF!</v>
      </c>
      <c r="L182" s="637" t="e">
        <f>+#REF!</f>
        <v>#REF!</v>
      </c>
      <c r="M182" s="637"/>
      <c r="N182" s="637"/>
      <c r="O182" s="637"/>
      <c r="P182" s="637" t="e">
        <f>+#REF!</f>
        <v>#REF!</v>
      </c>
      <c r="Q182" s="637" t="e">
        <f>+#REF!</f>
        <v>#REF!</v>
      </c>
      <c r="R182" s="637" t="e">
        <f>+#REF!</f>
        <v>#REF!</v>
      </c>
      <c r="S182" s="637"/>
    </row>
    <row r="183" spans="1:19">
      <c r="A183">
        <v>175</v>
      </c>
      <c r="B183" s="633" t="str">
        <f>+'Campus Selector'!$G$3</f>
        <v>Canton</v>
      </c>
      <c r="C183" s="634" t="s">
        <v>689</v>
      </c>
      <c r="D183" s="633" t="s">
        <v>479</v>
      </c>
      <c r="E183" s="633">
        <v>5</v>
      </c>
      <c r="F183" s="633">
        <v>181</v>
      </c>
      <c r="G183" s="633" t="e">
        <f t="shared" si="4"/>
        <v>#REF!</v>
      </c>
      <c r="H183" s="633" t="e">
        <f>+#REF!</f>
        <v>#REF!</v>
      </c>
      <c r="I183" s="633" t="e">
        <f>+#REF!</f>
        <v>#REF!</v>
      </c>
      <c r="J183" s="633" t="e">
        <f>+#REF!</f>
        <v>#REF!</v>
      </c>
      <c r="K183" s="656" t="e">
        <f>+#REF!</f>
        <v>#REF!</v>
      </c>
      <c r="L183" s="637" t="e">
        <f>+#REF!</f>
        <v>#REF!</v>
      </c>
      <c r="M183" s="637"/>
      <c r="N183" s="637"/>
      <c r="O183" s="637"/>
      <c r="P183" s="637" t="e">
        <f>+#REF!</f>
        <v>#REF!</v>
      </c>
      <c r="Q183" s="637" t="e">
        <f>+#REF!</f>
        <v>#REF!</v>
      </c>
      <c r="R183" s="637" t="e">
        <f>+#REF!</f>
        <v>#REF!</v>
      </c>
      <c r="S183" s="637"/>
    </row>
    <row r="184" spans="1:19">
      <c r="A184">
        <v>176</v>
      </c>
      <c r="B184" s="633" t="str">
        <f>+'Campus Selector'!$G$3</f>
        <v>Canton</v>
      </c>
      <c r="C184" s="634" t="s">
        <v>689</v>
      </c>
      <c r="D184" s="633" t="s">
        <v>479</v>
      </c>
      <c r="E184" s="633">
        <v>6</v>
      </c>
      <c r="F184" s="633">
        <v>184</v>
      </c>
      <c r="G184" s="633" t="e">
        <f t="shared" si="4"/>
        <v>#REF!</v>
      </c>
      <c r="H184" s="633" t="e">
        <f>+#REF!</f>
        <v>#REF!</v>
      </c>
      <c r="I184" s="633" t="e">
        <f>+#REF!</f>
        <v>#REF!</v>
      </c>
      <c r="J184" s="633" t="e">
        <f>+#REF!</f>
        <v>#REF!</v>
      </c>
      <c r="K184" s="656" t="e">
        <f>+#REF!</f>
        <v>#REF!</v>
      </c>
      <c r="L184" s="637" t="e">
        <f>+#REF!</f>
        <v>#REF!</v>
      </c>
      <c r="M184" s="637"/>
      <c r="N184" s="637"/>
      <c r="O184" s="637"/>
      <c r="P184" s="637" t="e">
        <f>+#REF!</f>
        <v>#REF!</v>
      </c>
      <c r="Q184" s="637" t="e">
        <f>+#REF!</f>
        <v>#REF!</v>
      </c>
      <c r="R184" s="637" t="e">
        <f>+#REF!</f>
        <v>#REF!</v>
      </c>
      <c r="S184" s="637"/>
    </row>
    <row r="185" spans="1:19">
      <c r="A185">
        <v>177</v>
      </c>
      <c r="B185" s="633" t="str">
        <f>+'Campus Selector'!$G$3</f>
        <v>Canton</v>
      </c>
      <c r="C185" s="634" t="s">
        <v>689</v>
      </c>
      <c r="D185" s="633" t="s">
        <v>479</v>
      </c>
      <c r="E185" s="633">
        <v>7</v>
      </c>
      <c r="F185" s="633">
        <v>185</v>
      </c>
      <c r="G185" s="633" t="e">
        <f t="shared" si="4"/>
        <v>#REF!</v>
      </c>
      <c r="H185" s="633" t="e">
        <f>+#REF!</f>
        <v>#REF!</v>
      </c>
      <c r="I185" s="633" t="e">
        <f>+#REF!</f>
        <v>#REF!</v>
      </c>
      <c r="J185" s="633" t="e">
        <f>+#REF!</f>
        <v>#REF!</v>
      </c>
      <c r="K185" s="656" t="e">
        <f>+#REF!</f>
        <v>#REF!</v>
      </c>
      <c r="L185" s="637" t="e">
        <f>+#REF!</f>
        <v>#REF!</v>
      </c>
      <c r="M185" s="637"/>
      <c r="N185" s="637"/>
      <c r="O185" s="637"/>
      <c r="P185" s="637" t="e">
        <f>+#REF!</f>
        <v>#REF!</v>
      </c>
      <c r="Q185" s="637" t="e">
        <f>+#REF!</f>
        <v>#REF!</v>
      </c>
      <c r="R185" s="637" t="e">
        <f>+#REF!</f>
        <v>#REF!</v>
      </c>
      <c r="S185" s="637"/>
    </row>
    <row r="186" spans="1:19">
      <c r="A186">
        <v>178</v>
      </c>
      <c r="B186" s="633" t="str">
        <f>+'Campus Selector'!$G$3</f>
        <v>Canton</v>
      </c>
      <c r="C186" s="634" t="s">
        <v>689</v>
      </c>
      <c r="D186" s="633" t="s">
        <v>479</v>
      </c>
      <c r="E186" s="633">
        <v>8</v>
      </c>
      <c r="F186" s="633">
        <v>194</v>
      </c>
      <c r="G186" s="633" t="e">
        <f t="shared" si="4"/>
        <v>#REF!</v>
      </c>
      <c r="H186" s="633" t="e">
        <f>+#REF!</f>
        <v>#REF!</v>
      </c>
      <c r="I186" s="633" t="e">
        <f>+#REF!</f>
        <v>#REF!</v>
      </c>
      <c r="J186" s="633" t="e">
        <f>+#REF!</f>
        <v>#REF!</v>
      </c>
      <c r="K186" s="656" t="e">
        <f>+#REF!</f>
        <v>#REF!</v>
      </c>
      <c r="L186" s="637" t="e">
        <f>+#REF!</f>
        <v>#REF!</v>
      </c>
      <c r="M186" s="637"/>
      <c r="N186" s="637"/>
      <c r="O186" s="637"/>
      <c r="P186" s="637" t="e">
        <f>+#REF!</f>
        <v>#REF!</v>
      </c>
      <c r="Q186" s="637" t="e">
        <f>+#REF!</f>
        <v>#REF!</v>
      </c>
      <c r="R186" s="637" t="e">
        <f>+#REF!</f>
        <v>#REF!</v>
      </c>
      <c r="S186" s="637"/>
    </row>
    <row r="187" spans="1:19">
      <c r="A187">
        <v>179</v>
      </c>
      <c r="B187" s="633" t="str">
        <f>+'Campus Selector'!$G$3</f>
        <v>Canton</v>
      </c>
      <c r="C187" s="634" t="s">
        <v>689</v>
      </c>
      <c r="D187" s="633" t="s">
        <v>479</v>
      </c>
      <c r="E187" s="633">
        <v>9</v>
      </c>
      <c r="F187" s="633">
        <v>196</v>
      </c>
      <c r="G187" s="633" t="e">
        <f t="shared" si="4"/>
        <v>#REF!</v>
      </c>
      <c r="H187" s="633" t="e">
        <f>+#REF!</f>
        <v>#REF!</v>
      </c>
      <c r="I187" s="633" t="e">
        <f>+#REF!</f>
        <v>#REF!</v>
      </c>
      <c r="J187" s="633" t="e">
        <f>+#REF!</f>
        <v>#REF!</v>
      </c>
      <c r="K187" s="656" t="e">
        <f>+#REF!</f>
        <v>#REF!</v>
      </c>
      <c r="L187" s="637" t="e">
        <f>+#REF!</f>
        <v>#REF!</v>
      </c>
      <c r="M187" s="637"/>
      <c r="N187" s="637"/>
      <c r="O187" s="637"/>
      <c r="P187" s="637" t="e">
        <f>+#REF!</f>
        <v>#REF!</v>
      </c>
      <c r="Q187" s="637" t="e">
        <f>+#REF!</f>
        <v>#REF!</v>
      </c>
      <c r="R187" s="637" t="e">
        <f>+#REF!</f>
        <v>#REF!</v>
      </c>
      <c r="S187" s="637"/>
    </row>
    <row r="188" spans="1:19">
      <c r="A188">
        <v>180</v>
      </c>
      <c r="B188" s="633" t="str">
        <f>+'Campus Selector'!$G$3</f>
        <v>Canton</v>
      </c>
      <c r="C188" s="634" t="s">
        <v>689</v>
      </c>
      <c r="D188" s="633" t="s">
        <v>479</v>
      </c>
      <c r="E188" s="633">
        <v>10</v>
      </c>
      <c r="F188" s="633">
        <v>200</v>
      </c>
      <c r="G188" s="633" t="e">
        <f t="shared" si="4"/>
        <v>#REF!</v>
      </c>
      <c r="H188" s="633" t="e">
        <f>+#REF!</f>
        <v>#REF!</v>
      </c>
      <c r="I188" s="633" t="e">
        <f>+#REF!</f>
        <v>#REF!</v>
      </c>
      <c r="J188" s="633" t="e">
        <f>+#REF!</f>
        <v>#REF!</v>
      </c>
      <c r="K188" s="656" t="e">
        <f>+#REF!</f>
        <v>#REF!</v>
      </c>
      <c r="L188" s="637" t="e">
        <f>+#REF!</f>
        <v>#REF!</v>
      </c>
      <c r="M188" s="637"/>
      <c r="N188" s="637"/>
      <c r="O188" s="637"/>
      <c r="P188" s="637" t="e">
        <f>+#REF!</f>
        <v>#REF!</v>
      </c>
      <c r="Q188" s="637" t="e">
        <f>+#REF!</f>
        <v>#REF!</v>
      </c>
      <c r="R188" s="637" t="e">
        <f>+#REF!</f>
        <v>#REF!</v>
      </c>
      <c r="S188" s="637"/>
    </row>
    <row r="189" spans="1:19">
      <c r="A189">
        <v>181</v>
      </c>
      <c r="B189" s="633" t="str">
        <f>+'Campus Selector'!$G$3</f>
        <v>Canton</v>
      </c>
      <c r="C189" s="634" t="s">
        <v>689</v>
      </c>
      <c r="D189" s="633" t="s">
        <v>479</v>
      </c>
      <c r="E189" s="633">
        <v>11</v>
      </c>
      <c r="F189" s="633">
        <v>197</v>
      </c>
      <c r="G189" s="633" t="e">
        <f t="shared" si="4"/>
        <v>#REF!</v>
      </c>
      <c r="H189" s="633" t="e">
        <f>+#REF!</f>
        <v>#REF!</v>
      </c>
      <c r="I189" s="633" t="e">
        <f>+#REF!</f>
        <v>#REF!</v>
      </c>
      <c r="J189" s="633" t="e">
        <f>+#REF!</f>
        <v>#REF!</v>
      </c>
      <c r="K189" s="656" t="e">
        <f>+#REF!</f>
        <v>#REF!</v>
      </c>
      <c r="L189" s="637" t="e">
        <f>+#REF!</f>
        <v>#REF!</v>
      </c>
      <c r="M189" s="637"/>
      <c r="N189" s="637"/>
      <c r="O189" s="637"/>
      <c r="P189" s="637" t="e">
        <f>+#REF!</f>
        <v>#REF!</v>
      </c>
      <c r="Q189" s="637" t="e">
        <f>+#REF!</f>
        <v>#REF!</v>
      </c>
      <c r="R189" s="637" t="e">
        <f>+#REF!</f>
        <v>#REF!</v>
      </c>
      <c r="S189" s="637"/>
    </row>
    <row r="190" spans="1:19">
      <c r="A190">
        <v>182</v>
      </c>
      <c r="B190" s="633" t="str">
        <f>+'Campus Selector'!$G$3</f>
        <v>Canton</v>
      </c>
      <c r="C190" s="634" t="s">
        <v>689</v>
      </c>
      <c r="D190" s="633" t="s">
        <v>479</v>
      </c>
      <c r="E190" s="633">
        <v>12</v>
      </c>
      <c r="F190" s="633">
        <v>195</v>
      </c>
      <c r="G190" s="633" t="e">
        <f t="shared" si="4"/>
        <v>#REF!</v>
      </c>
      <c r="H190" s="633" t="e">
        <f>+#REF!</f>
        <v>#REF!</v>
      </c>
      <c r="I190" s="633" t="e">
        <f>+#REF!</f>
        <v>#REF!</v>
      </c>
      <c r="J190" s="633" t="e">
        <f>+#REF!</f>
        <v>#REF!</v>
      </c>
      <c r="K190" s="656" t="e">
        <f>+#REF!</f>
        <v>#REF!</v>
      </c>
      <c r="L190" s="637" t="e">
        <f>+#REF!</f>
        <v>#REF!</v>
      </c>
      <c r="M190" s="637"/>
      <c r="N190" s="637"/>
      <c r="O190" s="637"/>
      <c r="P190" s="637" t="e">
        <f>+#REF!</f>
        <v>#REF!</v>
      </c>
      <c r="Q190" s="637" t="e">
        <f>+#REF!</f>
        <v>#REF!</v>
      </c>
      <c r="R190" s="637" t="e">
        <f>+#REF!</f>
        <v>#REF!</v>
      </c>
      <c r="S190" s="637"/>
    </row>
    <row r="191" spans="1:19">
      <c r="C191" s="634"/>
      <c r="K191" s="656"/>
      <c r="L191" s="637"/>
      <c r="M191" s="637"/>
      <c r="N191" s="637"/>
      <c r="O191" s="637"/>
      <c r="P191" s="637"/>
      <c r="Q191" s="637"/>
      <c r="R191" s="637"/>
      <c r="S191" s="637"/>
    </row>
    <row r="192" spans="1:19">
      <c r="A192">
        <v>183</v>
      </c>
      <c r="B192" s="633" t="str">
        <f>+'Campus Selector'!$G$3</f>
        <v>Canton</v>
      </c>
      <c r="C192" s="634" t="s">
        <v>689</v>
      </c>
      <c r="D192" s="633" t="s">
        <v>479</v>
      </c>
      <c r="F192" s="633">
        <v>210</v>
      </c>
      <c r="G192" s="633" t="e">
        <f t="shared" ref="G192:G201" si="5">+F192=H192</f>
        <v>#REF!</v>
      </c>
      <c r="H192" s="633" t="e">
        <f>+#REF!</f>
        <v>#REF!</v>
      </c>
      <c r="I192" s="633" t="e">
        <f>+#REF!</f>
        <v>#REF!</v>
      </c>
      <c r="J192" s="633" t="e">
        <f>+#REF!</f>
        <v>#REF!</v>
      </c>
      <c r="K192" s="633" t="e">
        <f>+#REF!</f>
        <v>#REF!</v>
      </c>
      <c r="L192" s="637" t="e">
        <f>+#REF!</f>
        <v>#REF!</v>
      </c>
      <c r="M192" s="637"/>
      <c r="N192" s="637"/>
      <c r="O192" s="637"/>
      <c r="P192" s="637" t="e">
        <f>+#REF!</f>
        <v>#REF!</v>
      </c>
      <c r="Q192" s="637" t="e">
        <f>+#REF!</f>
        <v>#REF!</v>
      </c>
      <c r="R192" s="637" t="e">
        <f>+#REF!</f>
        <v>#REF!</v>
      </c>
      <c r="S192" s="637"/>
    </row>
    <row r="193" spans="1:19">
      <c r="A193">
        <v>184</v>
      </c>
      <c r="B193" s="633" t="str">
        <f>+'Campus Selector'!$G$3</f>
        <v>Canton</v>
      </c>
      <c r="C193" s="634" t="s">
        <v>689</v>
      </c>
      <c r="D193" s="633" t="s">
        <v>479</v>
      </c>
      <c r="F193" s="633">
        <v>211</v>
      </c>
      <c r="G193" s="633" t="e">
        <f t="shared" si="5"/>
        <v>#REF!</v>
      </c>
      <c r="H193" s="633" t="e">
        <f>+#REF!</f>
        <v>#REF!</v>
      </c>
      <c r="I193" s="633" t="e">
        <f>+#REF!</f>
        <v>#REF!</v>
      </c>
      <c r="J193" s="633" t="e">
        <f>+#REF!</f>
        <v>#REF!</v>
      </c>
      <c r="K193" s="633" t="e">
        <f>+#REF!</f>
        <v>#REF!</v>
      </c>
      <c r="L193" s="637" t="e">
        <f>+#REF!</f>
        <v>#REF!</v>
      </c>
      <c r="M193" s="637"/>
      <c r="N193" s="637"/>
      <c r="O193" s="637"/>
      <c r="P193" s="637" t="e">
        <f>+#REF!</f>
        <v>#REF!</v>
      </c>
      <c r="Q193" s="637" t="e">
        <f>+#REF!</f>
        <v>#REF!</v>
      </c>
      <c r="R193" s="637" t="e">
        <f>+#REF!</f>
        <v>#REF!</v>
      </c>
      <c r="S193" s="637"/>
    </row>
    <row r="194" spans="1:19">
      <c r="A194">
        <v>185</v>
      </c>
      <c r="L194" s="637"/>
      <c r="M194" s="637"/>
      <c r="N194" s="637"/>
      <c r="O194" s="637"/>
      <c r="P194" s="637"/>
      <c r="Q194" s="637"/>
      <c r="R194" s="637"/>
      <c r="S194" s="637"/>
    </row>
    <row r="195" spans="1:19">
      <c r="A195">
        <v>186</v>
      </c>
      <c r="B195" s="633" t="str">
        <f>+'Campus Selector'!$G$3</f>
        <v>Canton</v>
      </c>
      <c r="C195" s="634" t="s">
        <v>690</v>
      </c>
      <c r="D195" s="633" t="s">
        <v>572</v>
      </c>
      <c r="E195" s="633">
        <v>1</v>
      </c>
      <c r="F195" s="633">
        <v>172</v>
      </c>
      <c r="G195" s="633" t="b">
        <f t="shared" si="5"/>
        <v>1</v>
      </c>
      <c r="H195" s="633">
        <f>+'Degrees Awards Granted'!B10</f>
        <v>172</v>
      </c>
      <c r="I195" s="633" t="str">
        <f>+'Degrees Awards Granted'!C10</f>
        <v>14.172.25</v>
      </c>
      <c r="J195" s="633" t="str">
        <f>+'Degrees Awards Granted'!E10</f>
        <v>UG Certificates and Diplomas</v>
      </c>
      <c r="K195" s="656">
        <f>+'Degrees Awards Granted'!K10</f>
        <v>152</v>
      </c>
      <c r="L195" s="637">
        <f>+'Degrees Awards Granted'!L10</f>
        <v>1.1714285714285715</v>
      </c>
      <c r="M195" s="637"/>
      <c r="N195" s="637"/>
      <c r="O195" s="637"/>
      <c r="P195" s="637">
        <f>+'Degrees Awards Granted'!M10</f>
        <v>80</v>
      </c>
      <c r="Q195" s="637">
        <f>+'Degrees Awards Granted'!N10</f>
        <v>95</v>
      </c>
      <c r="R195" s="637">
        <f>+'Degrees Awards Granted'!O10</f>
        <v>112</v>
      </c>
      <c r="S195" s="637"/>
    </row>
    <row r="196" spans="1:19">
      <c r="A196">
        <v>187</v>
      </c>
      <c r="B196" s="633" t="str">
        <f>+'Campus Selector'!$G$3</f>
        <v>Canton</v>
      </c>
      <c r="C196" s="634" t="s">
        <v>690</v>
      </c>
      <c r="D196" s="633" t="s">
        <v>572</v>
      </c>
      <c r="E196" s="633">
        <v>2</v>
      </c>
      <c r="F196" s="633">
        <v>173</v>
      </c>
      <c r="G196" s="633" t="b">
        <f t="shared" si="5"/>
        <v>1</v>
      </c>
      <c r="H196" s="633">
        <f>+'Degrees Awards Granted'!B11</f>
        <v>173</v>
      </c>
      <c r="I196" s="633" t="str">
        <f>+'Degrees Awards Granted'!C11</f>
        <v>14.173.25</v>
      </c>
      <c r="J196" s="633" t="str">
        <f>+'Degrees Awards Granted'!E11</f>
        <v>Associate Degrees</v>
      </c>
      <c r="K196" s="656">
        <f>+'Degrees Awards Granted'!K11</f>
        <v>452</v>
      </c>
      <c r="L196" s="637">
        <f>+'Degrees Awards Granted'!L11</f>
        <v>-0.1189083820662768</v>
      </c>
      <c r="M196" s="637"/>
      <c r="N196" s="637"/>
      <c r="O196" s="637"/>
      <c r="P196" s="637">
        <f>+'Degrees Awards Granted'!M11</f>
        <v>422</v>
      </c>
      <c r="Q196" s="637">
        <f>+'Degrees Awards Granted'!N11</f>
        <v>620</v>
      </c>
      <c r="R196" s="637">
        <f>+'Degrees Awards Granted'!O11</f>
        <v>810</v>
      </c>
      <c r="S196" s="637"/>
    </row>
    <row r="197" spans="1:19">
      <c r="A197">
        <v>188</v>
      </c>
      <c r="B197" s="633" t="str">
        <f>+'Campus Selector'!$G$3</f>
        <v>Canton</v>
      </c>
      <c r="C197" s="634" t="s">
        <v>690</v>
      </c>
      <c r="D197" s="633" t="s">
        <v>572</v>
      </c>
      <c r="E197" s="633">
        <v>3</v>
      </c>
      <c r="F197" s="633">
        <v>174</v>
      </c>
      <c r="G197" s="633" t="b">
        <f t="shared" si="5"/>
        <v>1</v>
      </c>
      <c r="H197" s="633">
        <f>+'Degrees Awards Granted'!B12</f>
        <v>174</v>
      </c>
      <c r="I197" s="633" t="str">
        <f>+'Degrees Awards Granted'!C12</f>
        <v>14.174.25</v>
      </c>
      <c r="J197" s="633" t="str">
        <f>+'Degrees Awards Granted'!E12</f>
        <v>Baccalaureate Degrees</v>
      </c>
      <c r="K197" s="656">
        <f>+'Degrees Awards Granted'!K12</f>
        <v>360</v>
      </c>
      <c r="L197" s="637">
        <f>+'Degrees Awards Granted'!L12</f>
        <v>2.9560439560439562</v>
      </c>
      <c r="M197" s="637"/>
      <c r="N197" s="637"/>
      <c r="O197" s="637"/>
      <c r="P197" s="637">
        <f>+'Degrees Awards Granted'!M12</f>
        <v>400</v>
      </c>
      <c r="Q197" s="637">
        <f>+'Degrees Awards Granted'!N12</f>
        <v>430</v>
      </c>
      <c r="R197" s="637">
        <f>+'Degrees Awards Granted'!O12</f>
        <v>450</v>
      </c>
      <c r="S197" s="637"/>
    </row>
    <row r="198" spans="1:19">
      <c r="A198">
        <v>189</v>
      </c>
      <c r="B198" s="633" t="str">
        <f>+'Campus Selector'!$G$3</f>
        <v>Canton</v>
      </c>
      <c r="C198" s="634" t="s">
        <v>690</v>
      </c>
      <c r="D198" s="633" t="s">
        <v>572</v>
      </c>
      <c r="E198" s="633">
        <v>4</v>
      </c>
      <c r="F198" s="633">
        <v>175</v>
      </c>
      <c r="G198" s="633" t="b">
        <f t="shared" si="5"/>
        <v>1</v>
      </c>
      <c r="H198" s="633">
        <f>+'Degrees Awards Granted'!B13</f>
        <v>175</v>
      </c>
      <c r="I198" s="633" t="str">
        <f>+'Degrees Awards Granted'!C13</f>
        <v>14.175.25</v>
      </c>
      <c r="J198" s="633" t="str">
        <f>+'Degrees Awards Granted'!E13</f>
        <v>Masters Degrees</v>
      </c>
      <c r="K198" s="656" t="str">
        <f>+'Degrees Awards Granted'!K13</f>
        <v>n/a</v>
      </c>
      <c r="L198" s="637" t="str">
        <f>+'Degrees Awards Granted'!L13</f>
        <v>-</v>
      </c>
      <c r="M198" s="637"/>
      <c r="N198" s="637"/>
      <c r="O198" s="637"/>
      <c r="P198" s="637">
        <f>+'Degrees Awards Granted'!M13</f>
        <v>0</v>
      </c>
      <c r="Q198" s="637">
        <f>+'Degrees Awards Granted'!N13</f>
        <v>0</v>
      </c>
      <c r="R198" s="637">
        <f>+'Degrees Awards Granted'!O13</f>
        <v>0</v>
      </c>
      <c r="S198" s="637"/>
    </row>
    <row r="199" spans="1:19">
      <c r="A199">
        <v>190</v>
      </c>
      <c r="B199" s="633" t="str">
        <f>+'Campus Selector'!$G$3</f>
        <v>Canton</v>
      </c>
      <c r="C199" s="634" t="s">
        <v>690</v>
      </c>
      <c r="D199" s="633" t="s">
        <v>572</v>
      </c>
      <c r="E199" s="633">
        <v>5</v>
      </c>
      <c r="F199" s="633">
        <v>176</v>
      </c>
      <c r="G199" s="633" t="b">
        <f t="shared" si="5"/>
        <v>1</v>
      </c>
      <c r="H199" s="633">
        <f>+'Degrees Awards Granted'!B14</f>
        <v>176</v>
      </c>
      <c r="I199" s="633" t="str">
        <f>+'Degrees Awards Granted'!C14</f>
        <v>14.176.25</v>
      </c>
      <c r="J199" s="633" t="str">
        <f>+'Degrees Awards Granted'!E14</f>
        <v>Doctoral Degrees</v>
      </c>
      <c r="K199" s="656" t="str">
        <f>+'Degrees Awards Granted'!K14</f>
        <v>n/a</v>
      </c>
      <c r="L199" s="637" t="str">
        <f>+'Degrees Awards Granted'!L14</f>
        <v>-</v>
      </c>
      <c r="M199" s="637"/>
      <c r="N199" s="637"/>
      <c r="O199" s="637"/>
      <c r="P199" s="637">
        <f>+'Degrees Awards Granted'!M14</f>
        <v>0</v>
      </c>
      <c r="Q199" s="637">
        <f>+'Degrees Awards Granted'!N14</f>
        <v>0</v>
      </c>
      <c r="R199" s="637">
        <f>+'Degrees Awards Granted'!O14</f>
        <v>0</v>
      </c>
      <c r="S199" s="637"/>
    </row>
    <row r="200" spans="1:19">
      <c r="A200">
        <v>191</v>
      </c>
      <c r="B200" s="633" t="str">
        <f>+'Campus Selector'!$G$3</f>
        <v>Canton</v>
      </c>
      <c r="C200" s="634" t="s">
        <v>690</v>
      </c>
      <c r="D200" s="633" t="s">
        <v>572</v>
      </c>
      <c r="E200" s="633">
        <v>6</v>
      </c>
      <c r="F200" s="633">
        <v>177</v>
      </c>
      <c r="G200" s="633" t="b">
        <f t="shared" si="5"/>
        <v>1</v>
      </c>
      <c r="H200" s="633">
        <f>+'Degrees Awards Granted'!B15</f>
        <v>177</v>
      </c>
      <c r="I200" s="633" t="str">
        <f>+'Degrees Awards Granted'!C15</f>
        <v>14.177.25</v>
      </c>
      <c r="J200" s="633" t="str">
        <f>+'Degrees Awards Granted'!E15</f>
        <v>First-Professional</v>
      </c>
      <c r="K200" s="656" t="str">
        <f>+'Degrees Awards Granted'!K15</f>
        <v>n/a</v>
      </c>
      <c r="L200" s="637" t="str">
        <f>+'Degrees Awards Granted'!L15</f>
        <v>-</v>
      </c>
      <c r="M200" s="637"/>
      <c r="N200" s="637"/>
      <c r="O200" s="637"/>
      <c r="P200" s="637">
        <f>+'Degrees Awards Granted'!M15</f>
        <v>0</v>
      </c>
      <c r="Q200" s="637">
        <f>+'Degrees Awards Granted'!N15</f>
        <v>0</v>
      </c>
      <c r="R200" s="637">
        <f>+'Degrees Awards Granted'!O15</f>
        <v>0</v>
      </c>
      <c r="S200" s="637"/>
    </row>
    <row r="201" spans="1:19">
      <c r="A201">
        <v>192</v>
      </c>
      <c r="B201" s="633" t="str">
        <f>+'Campus Selector'!$G$3</f>
        <v>Canton</v>
      </c>
      <c r="C201" s="634" t="s">
        <v>690</v>
      </c>
      <c r="D201" s="633" t="s">
        <v>572</v>
      </c>
      <c r="E201" s="633">
        <v>7</v>
      </c>
      <c r="F201" s="633">
        <v>178</v>
      </c>
      <c r="G201" s="633" t="b">
        <f t="shared" si="5"/>
        <v>1</v>
      </c>
      <c r="H201" s="633">
        <f>+'Degrees Awards Granted'!B16</f>
        <v>178</v>
      </c>
      <c r="I201" s="633" t="str">
        <f>+'Degrees Awards Granted'!C16</f>
        <v>14.178.25</v>
      </c>
      <c r="J201" s="633" t="str">
        <f>+'Degrees Awards Granted'!E16</f>
        <v>Graduate Certificates</v>
      </c>
      <c r="K201" s="656" t="str">
        <f>+'Degrees Awards Granted'!K16</f>
        <v>n/a</v>
      </c>
      <c r="L201" s="637" t="str">
        <f>+'Degrees Awards Granted'!L16</f>
        <v>-</v>
      </c>
      <c r="M201" s="637"/>
      <c r="N201" s="637"/>
      <c r="O201" s="637"/>
      <c r="P201" s="637">
        <f>+'Degrees Awards Granted'!M16</f>
        <v>0</v>
      </c>
      <c r="Q201" s="637">
        <f>+'Degrees Awards Granted'!N16</f>
        <v>0</v>
      </c>
      <c r="R201" s="637">
        <f>+'Degrees Awards Granted'!O16</f>
        <v>0</v>
      </c>
      <c r="S201" s="637"/>
    </row>
    <row r="202" spans="1:19">
      <c r="A202">
        <v>193</v>
      </c>
      <c r="L202" s="637"/>
      <c r="M202" s="637"/>
      <c r="N202" s="637"/>
      <c r="O202" s="637"/>
      <c r="P202" s="637"/>
      <c r="Q202" s="637"/>
      <c r="R202" s="637"/>
      <c r="S202" s="637"/>
    </row>
    <row r="203" spans="1:19">
      <c r="A203">
        <v>194</v>
      </c>
      <c r="B203" s="633" t="str">
        <f>+'Campus Selector'!$G$3</f>
        <v>Canton</v>
      </c>
      <c r="C203" s="634" t="s">
        <v>691</v>
      </c>
      <c r="D203" s="633" t="s">
        <v>414</v>
      </c>
      <c r="E203" s="633">
        <v>1</v>
      </c>
      <c r="F203" s="633">
        <v>238</v>
      </c>
      <c r="G203" s="633" t="b">
        <f t="shared" ref="G203:G221" si="6">+F203=H203</f>
        <v>1</v>
      </c>
      <c r="H203" s="633">
        <f>+'SOS Results Table 1'!B10</f>
        <v>238</v>
      </c>
      <c r="I203" s="633" t="str">
        <f>+'SOS Results Table 1'!C10</f>
        <v>11.238.25</v>
      </c>
      <c r="J203" s="633" t="str">
        <f>+'SOS Results Table 1'!F10</f>
        <v>Overall Satisfaction</v>
      </c>
      <c r="K203" s="659">
        <f>+'SOS Results Table 1'!I10</f>
        <v>1.0430565180206202E-2</v>
      </c>
      <c r="L203" s="637">
        <f>+'SOS Results Table 1'!G10</f>
        <v>3.4454126798955218</v>
      </c>
      <c r="M203" s="637"/>
      <c r="N203" s="637"/>
      <c r="O203" s="637"/>
      <c r="P203" s="637" t="e">
        <f>+'SOS Results Table 1'!#REF!</f>
        <v>#REF!</v>
      </c>
      <c r="Q203" s="637" t="e">
        <f>+'SOS Results Table 1'!#REF!</f>
        <v>#REF!</v>
      </c>
      <c r="R203" s="637" t="s">
        <v>649</v>
      </c>
      <c r="S203" s="637"/>
    </row>
    <row r="204" spans="1:19">
      <c r="A204">
        <v>195</v>
      </c>
      <c r="B204" s="633" t="str">
        <f>+'Campus Selector'!$G$3</f>
        <v>Canton</v>
      </c>
      <c r="C204" s="634" t="s">
        <v>691</v>
      </c>
      <c r="D204" s="633" t="s">
        <v>414</v>
      </c>
      <c r="E204" s="633">
        <v>2</v>
      </c>
      <c r="F204" s="633">
        <v>235</v>
      </c>
      <c r="G204" s="633" t="b">
        <f t="shared" si="6"/>
        <v>1</v>
      </c>
      <c r="H204" s="633">
        <f>+'SOS Results Table 1'!B11</f>
        <v>235</v>
      </c>
      <c r="I204" s="633" t="str">
        <f>+'SOS Results Table 1'!C11</f>
        <v>11.235.25</v>
      </c>
      <c r="J204" s="633" t="str">
        <f>+'SOS Results Table 1'!F11</f>
        <v>Academic Skill Development</v>
      </c>
      <c r="K204" s="659">
        <f>+'SOS Results Table 1'!I11</f>
        <v>-0.27814704151593989</v>
      </c>
      <c r="L204" s="637">
        <f>+'SOS Results Table 1'!G11</f>
        <v>3.2249208076137417</v>
      </c>
      <c r="M204" s="637"/>
      <c r="N204" s="637"/>
      <c r="O204" s="637"/>
      <c r="P204" s="637" t="e">
        <f>+'SOS Results Table 1'!#REF!</f>
        <v>#REF!</v>
      </c>
      <c r="Q204" s="637" t="e">
        <f>+'SOS Results Table 1'!#REF!</f>
        <v>#REF!</v>
      </c>
      <c r="R204" s="637" t="s">
        <v>649</v>
      </c>
      <c r="S204" s="637"/>
    </row>
    <row r="205" spans="1:19">
      <c r="A205">
        <v>196</v>
      </c>
      <c r="B205" s="633" t="str">
        <f>+'Campus Selector'!$G$3</f>
        <v>Canton</v>
      </c>
      <c r="C205" s="634" t="s">
        <v>691</v>
      </c>
      <c r="D205" s="633" t="s">
        <v>414</v>
      </c>
      <c r="E205" s="633">
        <v>3</v>
      </c>
      <c r="F205" s="633">
        <v>236</v>
      </c>
      <c r="G205" s="633" t="b">
        <f t="shared" si="6"/>
        <v>1</v>
      </c>
      <c r="H205" s="633">
        <f>+'SOS Results Table 1'!B12</f>
        <v>236</v>
      </c>
      <c r="I205" s="633" t="str">
        <f>+'SOS Results Table 1'!C12</f>
        <v>11.236.25</v>
      </c>
      <c r="J205" s="633" t="str">
        <f>+'SOS Results Table 1'!F12</f>
        <v>Classroom Experience</v>
      </c>
      <c r="K205" s="659">
        <f>+'SOS Results Table 1'!I12</f>
        <v>-0.18071301703180123</v>
      </c>
      <c r="L205" s="637">
        <f>+'SOS Results Table 1'!G12</f>
        <v>3.2030220490313539</v>
      </c>
      <c r="M205" s="637"/>
      <c r="N205" s="637"/>
      <c r="O205" s="637"/>
      <c r="P205" s="637" t="e">
        <f>+'SOS Results Table 1'!#REF!</f>
        <v>#REF!</v>
      </c>
      <c r="Q205" s="637" t="e">
        <f>+'SOS Results Table 1'!#REF!</f>
        <v>#REF!</v>
      </c>
      <c r="R205" s="637" t="s">
        <v>649</v>
      </c>
      <c r="S205" s="637"/>
    </row>
    <row r="206" spans="1:19">
      <c r="A206">
        <v>197</v>
      </c>
      <c r="B206" s="633" t="str">
        <f>+'Campus Selector'!$G$3</f>
        <v>Canton</v>
      </c>
      <c r="C206" s="634" t="s">
        <v>691</v>
      </c>
      <c r="D206" s="633" t="s">
        <v>414</v>
      </c>
      <c r="E206" s="633">
        <v>4</v>
      </c>
      <c r="F206" s="633">
        <v>237</v>
      </c>
      <c r="G206" s="633" t="b">
        <f t="shared" si="6"/>
        <v>1</v>
      </c>
      <c r="H206" s="633">
        <f>+'SOS Results Table 1'!B13</f>
        <v>237</v>
      </c>
      <c r="I206" s="633" t="str">
        <f>+'SOS Results Table 1'!C13</f>
        <v>11.237.25</v>
      </c>
      <c r="J206" s="633" t="str">
        <f>+'SOS Results Table 1'!F13</f>
        <v>Life Skill Development</v>
      </c>
      <c r="K206" s="659">
        <f>+'SOS Results Table 1'!I13</f>
        <v>-0.36870076084432601</v>
      </c>
      <c r="L206" s="637">
        <f>+'SOS Results Table 1'!G13</f>
        <v>3.0702451363647261</v>
      </c>
      <c r="M206" s="637"/>
      <c r="N206" s="637"/>
      <c r="O206" s="637"/>
      <c r="P206" s="637" t="e">
        <f>+'SOS Results Table 1'!#REF!</f>
        <v>#REF!</v>
      </c>
      <c r="Q206" s="637" t="e">
        <f>+'SOS Results Table 1'!#REF!</f>
        <v>#REF!</v>
      </c>
      <c r="R206" s="637" t="s">
        <v>649</v>
      </c>
      <c r="S206" s="637"/>
    </row>
    <row r="207" spans="1:19">
      <c r="A207">
        <v>198</v>
      </c>
      <c r="B207" s="633" t="str">
        <f>+'Campus Selector'!$G$3</f>
        <v>Canton</v>
      </c>
      <c r="C207" s="634" t="s">
        <v>691</v>
      </c>
      <c r="D207" s="633" t="s">
        <v>414</v>
      </c>
      <c r="E207" s="633">
        <v>5</v>
      </c>
      <c r="F207" s="633">
        <v>248</v>
      </c>
      <c r="G207" s="633" t="b">
        <f t="shared" si="6"/>
        <v>1</v>
      </c>
      <c r="H207" s="633">
        <f>+'SOS Results Table 1'!B14</f>
        <v>248</v>
      </c>
      <c r="I207" s="633" t="str">
        <f>+'SOS Results Table 1'!C14</f>
        <v>11.248.25</v>
      </c>
      <c r="J207" s="633" t="str">
        <f>+'SOS Results Table 1'!F14</f>
        <v>Academic Integrity</v>
      </c>
      <c r="K207" s="659">
        <f>+'SOS Results Table 1'!I14</f>
        <v>-4.890065791893982E-2</v>
      </c>
      <c r="L207" s="637">
        <f>+'SOS Results Table 1'!G14</f>
        <v>3.3245340395687037</v>
      </c>
      <c r="M207" s="637"/>
      <c r="N207" s="637"/>
      <c r="O207" s="637"/>
      <c r="P207" s="637" t="e">
        <f>+'SOS Results Table 1'!#REF!</f>
        <v>#REF!</v>
      </c>
      <c r="Q207" s="637" t="e">
        <f>+'SOS Results Table 1'!#REF!</f>
        <v>#REF!</v>
      </c>
      <c r="R207" s="637" t="s">
        <v>649</v>
      </c>
      <c r="S207" s="637"/>
    </row>
    <row r="208" spans="1:19">
      <c r="A208">
        <v>199</v>
      </c>
      <c r="B208" s="633" t="str">
        <f>+'Campus Selector'!$G$3</f>
        <v>Canton</v>
      </c>
      <c r="C208" s="634" t="s">
        <v>691</v>
      </c>
      <c r="D208" s="633" t="s">
        <v>414</v>
      </c>
      <c r="E208" s="633">
        <v>6</v>
      </c>
      <c r="F208" s="633">
        <v>249</v>
      </c>
      <c r="G208" s="633" t="b">
        <f t="shared" si="6"/>
        <v>1</v>
      </c>
      <c r="H208" s="633">
        <f>+'SOS Results Table 1'!B15</f>
        <v>249</v>
      </c>
      <c r="I208" s="633" t="str">
        <f>+'SOS Results Table 1'!C15</f>
        <v>11.249.25</v>
      </c>
      <c r="J208" s="633" t="str">
        <f>+'SOS Results Table 1'!F15</f>
        <v>Academic Assigments</v>
      </c>
      <c r="K208" s="659">
        <f>+'SOS Results Table 1'!I15</f>
        <v>0.53203043778298231</v>
      </c>
      <c r="L208" s="637">
        <f>+'SOS Results Table 1'!G15</f>
        <v>3.997477644146882</v>
      </c>
      <c r="M208" s="637"/>
      <c r="N208" s="637"/>
      <c r="O208" s="637"/>
      <c r="P208" s="637" t="e">
        <f>+'SOS Results Table 1'!#REF!</f>
        <v>#REF!</v>
      </c>
      <c r="Q208" s="637" t="e">
        <f>+'SOS Results Table 1'!#REF!</f>
        <v>#REF!</v>
      </c>
      <c r="R208" s="637" t="s">
        <v>649</v>
      </c>
      <c r="S208" s="637"/>
    </row>
    <row r="209" spans="1:19">
      <c r="A209">
        <v>200</v>
      </c>
      <c r="B209" s="633" t="str">
        <f>+'Campus Selector'!$G$3</f>
        <v>Canton</v>
      </c>
      <c r="C209" s="634" t="s">
        <v>691</v>
      </c>
      <c r="D209" s="633" t="s">
        <v>414</v>
      </c>
      <c r="E209" s="633">
        <v>7</v>
      </c>
      <c r="F209" s="633">
        <v>243</v>
      </c>
      <c r="G209" s="633" t="b">
        <f t="shared" si="6"/>
        <v>1</v>
      </c>
      <c r="H209" s="633">
        <f>+'SOS Results Table 1'!B18</f>
        <v>243</v>
      </c>
      <c r="I209" s="633" t="str">
        <f>+'SOS Results Table 1'!C18</f>
        <v>11.243.25</v>
      </c>
      <c r="J209" s="633" t="str">
        <f>+'SOS Results Table 1'!F18</f>
        <v>Academic Advising</v>
      </c>
      <c r="K209" s="659">
        <f>+'SOS Results Table 1'!I18</f>
        <v>0.92567837596353986</v>
      </c>
      <c r="L209" s="637">
        <f>+'SOS Results Table 1'!G18</f>
        <v>3.8828364128652972</v>
      </c>
      <c r="M209" s="637"/>
      <c r="N209" s="637"/>
      <c r="O209" s="637"/>
      <c r="P209" s="637" t="e">
        <f>+'SOS Results Table 1'!#REF!</f>
        <v>#REF!</v>
      </c>
      <c r="Q209" s="637" t="e">
        <f>+'SOS Results Table 1'!#REF!</f>
        <v>#REF!</v>
      </c>
      <c r="R209" s="637" t="s">
        <v>649</v>
      </c>
      <c r="S209" s="637"/>
    </row>
    <row r="210" spans="1:19">
      <c r="A210">
        <v>201</v>
      </c>
      <c r="B210" s="633" t="str">
        <f>+'Campus Selector'!$G$3</f>
        <v>Canton</v>
      </c>
      <c r="C210" s="634" t="s">
        <v>691</v>
      </c>
      <c r="D210" s="633" t="s">
        <v>414</v>
      </c>
      <c r="E210" s="633">
        <v>8</v>
      </c>
      <c r="F210" s="633">
        <v>240</v>
      </c>
      <c r="G210" s="633" t="b">
        <f t="shared" si="6"/>
        <v>1</v>
      </c>
      <c r="H210" s="633">
        <f>+'SOS Results Table 1'!B19</f>
        <v>240</v>
      </c>
      <c r="I210" s="633" t="str">
        <f>+'SOS Results Table 1'!C19</f>
        <v>11.240.25</v>
      </c>
      <c r="J210" s="633" t="str">
        <f>+'SOS Results Table 1'!F19</f>
        <v>Information Technology</v>
      </c>
      <c r="K210" s="659">
        <f>+'SOS Results Table 1'!I19</f>
        <v>0.87593709155407506</v>
      </c>
      <c r="L210" s="637">
        <f>+'SOS Results Table 1'!G19</f>
        <v>3.945083432758536</v>
      </c>
      <c r="M210" s="637"/>
      <c r="N210" s="637"/>
      <c r="O210" s="637"/>
      <c r="P210" s="637" t="e">
        <f>+'SOS Results Table 1'!#REF!</f>
        <v>#REF!</v>
      </c>
      <c r="Q210" s="637" t="e">
        <f>+'SOS Results Table 1'!#REF!</f>
        <v>#REF!</v>
      </c>
      <c r="R210" s="637" t="s">
        <v>649</v>
      </c>
      <c r="S210" s="637"/>
    </row>
    <row r="211" spans="1:19">
      <c r="A211">
        <v>202</v>
      </c>
      <c r="B211" s="633" t="str">
        <f>+'Campus Selector'!$G$3</f>
        <v>Canton</v>
      </c>
      <c r="C211" s="634" t="s">
        <v>691</v>
      </c>
      <c r="D211" s="633" t="s">
        <v>414</v>
      </c>
      <c r="E211" s="633">
        <v>9</v>
      </c>
      <c r="F211" s="633">
        <v>241</v>
      </c>
      <c r="G211" s="633" t="b">
        <f t="shared" si="6"/>
        <v>1</v>
      </c>
      <c r="H211" s="633">
        <f>+'SOS Results Table 1'!B20</f>
        <v>241</v>
      </c>
      <c r="I211" s="633" t="str">
        <f>+'SOS Results Table 1'!C20</f>
        <v>11.241.25</v>
      </c>
      <c r="J211" s="633" t="str">
        <f>+'SOS Results Table 1'!F20</f>
        <v>Academic Facilities &amp; Grounds</v>
      </c>
      <c r="K211" s="659">
        <f>+'SOS Results Table 1'!I20</f>
        <v>0.72289420255518377</v>
      </c>
      <c r="L211" s="637">
        <f>+'SOS Results Table 1'!G20</f>
        <v>3.7255518523291982</v>
      </c>
      <c r="M211" s="637"/>
      <c r="N211" s="637"/>
      <c r="O211" s="637"/>
      <c r="P211" s="637" t="e">
        <f>+'SOS Results Table 1'!#REF!</f>
        <v>#REF!</v>
      </c>
      <c r="Q211" s="637" t="e">
        <f>+'SOS Results Table 1'!#REF!</f>
        <v>#REF!</v>
      </c>
      <c r="R211" s="637" t="s">
        <v>649</v>
      </c>
      <c r="S211" s="637"/>
    </row>
    <row r="212" spans="1:19">
      <c r="A212">
        <v>203</v>
      </c>
      <c r="B212" s="633" t="str">
        <f>+'Campus Selector'!$G$3</f>
        <v>Canton</v>
      </c>
      <c r="C212" s="634" t="s">
        <v>691</v>
      </c>
      <c r="D212" s="633" t="s">
        <v>414</v>
      </c>
      <c r="E212" s="633">
        <v>10</v>
      </c>
      <c r="F212" s="633">
        <v>242</v>
      </c>
      <c r="G212" s="633" t="b">
        <f t="shared" si="6"/>
        <v>1</v>
      </c>
      <c r="H212" s="633">
        <f>+'SOS Results Table 1'!B21</f>
        <v>242</v>
      </c>
      <c r="I212" s="633" t="str">
        <f>+'SOS Results Table 1'!C21</f>
        <v>11.242.25</v>
      </c>
      <c r="J212" s="633" t="str">
        <f>+'SOS Results Table 1'!F21</f>
        <v>Course Availability &amp; Quality</v>
      </c>
      <c r="K212" s="659">
        <f>+'SOS Results Table 1'!I21</f>
        <v>0.45740517826271254</v>
      </c>
      <c r="L212" s="637">
        <f>+'SOS Results Table 1'!G21</f>
        <v>3.735660643070176</v>
      </c>
      <c r="M212" s="637"/>
      <c r="N212" s="637"/>
      <c r="O212" s="637"/>
      <c r="P212" s="637" t="e">
        <f>+'SOS Results Table 1'!#REF!</f>
        <v>#REF!</v>
      </c>
      <c r="Q212" s="637" t="e">
        <f>+'SOS Results Table 1'!#REF!</f>
        <v>#REF!</v>
      </c>
      <c r="R212" s="637" t="s">
        <v>649</v>
      </c>
      <c r="S212" s="637"/>
    </row>
    <row r="213" spans="1:19">
      <c r="A213">
        <v>204</v>
      </c>
      <c r="B213" s="633" t="str">
        <f>+'Campus Selector'!$G$3</f>
        <v>Canton</v>
      </c>
      <c r="C213" s="634" t="s">
        <v>691</v>
      </c>
      <c r="D213" s="633" t="s">
        <v>414</v>
      </c>
      <c r="E213" s="633">
        <v>11</v>
      </c>
      <c r="F213" s="633">
        <v>245</v>
      </c>
      <c r="G213" s="633" t="b">
        <f t="shared" si="6"/>
        <v>1</v>
      </c>
      <c r="H213" s="633">
        <f>+'SOS Results Table 1'!B24</f>
        <v>245</v>
      </c>
      <c r="I213" s="633" t="str">
        <f>+'SOS Results Table 1'!C24</f>
        <v>11.245.25</v>
      </c>
      <c r="J213" s="633" t="str">
        <f>+'SOS Results Table 1'!F24</f>
        <v>Social Environment</v>
      </c>
      <c r="K213" s="659">
        <f>+'SOS Results Table 1'!I24</f>
        <v>0.12506386401844094</v>
      </c>
      <c r="L213" s="637">
        <f>+'SOS Results Table 1'!G24</f>
        <v>3.4358388836768219</v>
      </c>
      <c r="M213" s="637"/>
      <c r="N213" s="637"/>
      <c r="O213" s="637"/>
      <c r="P213" s="637" t="e">
        <f>+'SOS Results Table 1'!#REF!</f>
        <v>#REF!</v>
      </c>
      <c r="Q213" s="637" t="e">
        <f>+'SOS Results Table 1'!#REF!</f>
        <v>#REF!</v>
      </c>
      <c r="R213" s="637" t="s">
        <v>649</v>
      </c>
      <c r="S213" s="637"/>
    </row>
    <row r="214" spans="1:19">
      <c r="A214">
        <v>205</v>
      </c>
      <c r="B214" s="633" t="str">
        <f>+'Campus Selector'!$G$3</f>
        <v>Canton</v>
      </c>
      <c r="C214" s="634" t="s">
        <v>691</v>
      </c>
      <c r="D214" s="633" t="s">
        <v>414</v>
      </c>
      <c r="E214" s="633">
        <v>12</v>
      </c>
      <c r="F214" s="633">
        <v>250</v>
      </c>
      <c r="G214" s="633" t="b">
        <f t="shared" si="6"/>
        <v>1</v>
      </c>
      <c r="H214" s="633">
        <f>+'SOS Results Table 1'!B25</f>
        <v>250</v>
      </c>
      <c r="I214" s="633" t="str">
        <f>+'SOS Results Table 1'!C25</f>
        <v>11.250.25</v>
      </c>
      <c r="J214" s="633" t="str">
        <f>+'SOS Results Table 1'!F25</f>
        <v>Financing College and other Difficulties</v>
      </c>
      <c r="K214" s="659">
        <f>+'SOS Results Table 1'!I25</f>
        <v>0.63500983035863168</v>
      </c>
      <c r="L214" s="637">
        <f>+'SOS Results Table 1'!G25</f>
        <v>3.0106571936056836</v>
      </c>
      <c r="M214" s="637"/>
      <c r="N214" s="637"/>
      <c r="O214" s="637"/>
      <c r="P214" s="637" t="e">
        <f>+'SOS Results Table 1'!#REF!</f>
        <v>#REF!</v>
      </c>
      <c r="Q214" s="637" t="e">
        <f>+'SOS Results Table 1'!#REF!</f>
        <v>#REF!</v>
      </c>
      <c r="R214" s="637" t="s">
        <v>649</v>
      </c>
      <c r="S214" s="637"/>
    </row>
    <row r="215" spans="1:19">
      <c r="A215">
        <v>206</v>
      </c>
      <c r="B215" s="633" t="str">
        <f>+'Campus Selector'!$G$3</f>
        <v>Canton</v>
      </c>
      <c r="C215" s="634" t="s">
        <v>691</v>
      </c>
      <c r="D215" s="633" t="s">
        <v>414</v>
      </c>
      <c r="E215" s="633">
        <v>13</v>
      </c>
      <c r="F215" s="633">
        <v>251</v>
      </c>
      <c r="G215" s="633" t="b">
        <f t="shared" si="6"/>
        <v>1</v>
      </c>
      <c r="H215" s="633">
        <f>+'SOS Results Table 1'!B26</f>
        <v>251</v>
      </c>
      <c r="I215" s="633" t="str">
        <f>+'SOS Results Table 1'!C26</f>
        <v>11.251.25</v>
      </c>
      <c r="J215" s="633" t="str">
        <f>+'SOS Results Table 1'!F26</f>
        <v>Personal Integration &amp; Connection</v>
      </c>
      <c r="K215" s="659">
        <f>+'SOS Results Table 1'!I26</f>
        <v>-5.6526807748539916E-2</v>
      </c>
      <c r="L215" s="637">
        <f>+'SOS Results Table 1'!G26</f>
        <v>3.6850584391296954</v>
      </c>
      <c r="M215" s="637"/>
      <c r="N215" s="637"/>
      <c r="O215" s="637"/>
      <c r="P215" s="637" t="e">
        <f>+'SOS Results Table 1'!#REF!</f>
        <v>#REF!</v>
      </c>
      <c r="Q215" s="637" t="e">
        <f>+'SOS Results Table 1'!#REF!</f>
        <v>#REF!</v>
      </c>
      <c r="R215" s="637" t="s">
        <v>649</v>
      </c>
      <c r="S215" s="637"/>
    </row>
    <row r="216" spans="1:19">
      <c r="A216">
        <v>207</v>
      </c>
      <c r="B216" s="633" t="str">
        <f>+'Campus Selector'!$G$3</f>
        <v>Canton</v>
      </c>
      <c r="C216" s="634" t="s">
        <v>691</v>
      </c>
      <c r="D216" s="633" t="s">
        <v>414</v>
      </c>
      <c r="E216" s="633">
        <v>14</v>
      </c>
      <c r="F216" s="633">
        <v>252</v>
      </c>
      <c r="G216" s="633" t="b">
        <f t="shared" si="6"/>
        <v>1</v>
      </c>
      <c r="H216" s="633">
        <f>+'SOS Results Table 1'!B27</f>
        <v>252</v>
      </c>
      <c r="I216" s="633" t="str">
        <f>+'SOS Results Table 1'!C27</f>
        <v>11.252.25</v>
      </c>
      <c r="J216" s="633" t="str">
        <f>+'SOS Results Table 1'!F27</f>
        <v>Health &amp; Wellness Services</v>
      </c>
      <c r="K216" s="659">
        <f>+'SOS Results Table 1'!I27</f>
        <v>0.73458694979896677</v>
      </c>
      <c r="L216" s="637">
        <f>+'SOS Results Table 1'!G27</f>
        <v>3.6859246920433466</v>
      </c>
      <c r="M216" s="637"/>
      <c r="N216" s="637"/>
      <c r="O216" s="637"/>
      <c r="P216" s="637" t="e">
        <f>+'SOS Results Table 1'!#REF!</f>
        <v>#REF!</v>
      </c>
      <c r="Q216" s="637" t="e">
        <f>+'SOS Results Table 1'!#REF!</f>
        <v>#REF!</v>
      </c>
      <c r="R216" s="637" t="s">
        <v>649</v>
      </c>
      <c r="S216" s="637"/>
    </row>
    <row r="217" spans="1:19">
      <c r="A217">
        <v>208</v>
      </c>
      <c r="B217" s="633" t="str">
        <f>+'Campus Selector'!$G$3</f>
        <v>Canton</v>
      </c>
      <c r="C217" s="634" t="s">
        <v>691</v>
      </c>
      <c r="D217" s="633" t="s">
        <v>414</v>
      </c>
      <c r="E217" s="633">
        <v>15</v>
      </c>
      <c r="F217" s="633">
        <v>253</v>
      </c>
      <c r="G217" s="633" t="b">
        <f t="shared" si="6"/>
        <v>1</v>
      </c>
      <c r="H217" s="633">
        <f>+'SOS Results Table 1'!B28</f>
        <v>253</v>
      </c>
      <c r="I217" s="633" t="str">
        <f>+'SOS Results Table 1'!C28</f>
        <v>11.253.25</v>
      </c>
      <c r="J217" s="633" t="str">
        <f>+'SOS Results Table 1'!F28</f>
        <v>Student Harmony/Campus Diversity</v>
      </c>
      <c r="K217" s="659">
        <f>+'SOS Results Table 1'!I28</f>
        <v>-0.44207836786067889</v>
      </c>
      <c r="L217" s="637">
        <f>+'SOS Results Table 1'!G28</f>
        <v>3.507527355703941</v>
      </c>
      <c r="M217" s="637"/>
      <c r="N217" s="637"/>
      <c r="O217" s="637"/>
      <c r="P217" s="637" t="e">
        <f>+'SOS Results Table 1'!#REF!</f>
        <v>#REF!</v>
      </c>
      <c r="Q217" s="637" t="e">
        <f>+'SOS Results Table 1'!#REF!</f>
        <v>#REF!</v>
      </c>
      <c r="R217" s="637" t="s">
        <v>649</v>
      </c>
      <c r="S217" s="637"/>
    </row>
    <row r="218" spans="1:19">
      <c r="A218">
        <v>209</v>
      </c>
      <c r="B218" s="633" t="str">
        <f>+'Campus Selector'!$G$3</f>
        <v>Canton</v>
      </c>
      <c r="C218" s="634" t="s">
        <v>691</v>
      </c>
      <c r="D218" s="633" t="s">
        <v>414</v>
      </c>
      <c r="E218" s="633">
        <v>16</v>
      </c>
      <c r="F218" s="633">
        <v>254</v>
      </c>
      <c r="G218" s="633" t="b">
        <f t="shared" si="6"/>
        <v>1</v>
      </c>
      <c r="H218" s="633">
        <f>+'SOS Results Table 1'!B29</f>
        <v>254</v>
      </c>
      <c r="I218" s="633" t="str">
        <f>+'SOS Results Table 1'!C29</f>
        <v>11.254.25</v>
      </c>
      <c r="J218" s="633" t="str">
        <f>+'SOS Results Table 1'!F29</f>
        <v>Student Life</v>
      </c>
      <c r="K218" s="659">
        <f>+'SOS Results Table 1'!I29</f>
        <v>-0.14446130199275656</v>
      </c>
      <c r="L218" s="637">
        <f>+'SOS Results Table 1'!G29</f>
        <v>2.9568939863254369</v>
      </c>
      <c r="M218" s="637"/>
      <c r="N218" s="637"/>
      <c r="O218" s="637"/>
      <c r="P218" s="637" t="e">
        <f>+'SOS Results Table 1'!#REF!</f>
        <v>#REF!</v>
      </c>
      <c r="Q218" s="637" t="e">
        <f>+'SOS Results Table 1'!#REF!</f>
        <v>#REF!</v>
      </c>
      <c r="R218" s="637" t="s">
        <v>649</v>
      </c>
      <c r="S218" s="637"/>
    </row>
    <row r="219" spans="1:19">
      <c r="A219">
        <v>210</v>
      </c>
      <c r="B219" s="633" t="str">
        <f>+'Campus Selector'!$G$3</f>
        <v>Canton</v>
      </c>
      <c r="C219" s="634" t="s">
        <v>691</v>
      </c>
      <c r="D219" s="633" t="s">
        <v>414</v>
      </c>
      <c r="E219" s="633">
        <v>17</v>
      </c>
      <c r="F219" s="633">
        <v>255</v>
      </c>
      <c r="G219" s="633" t="b">
        <f t="shared" si="6"/>
        <v>1</v>
      </c>
      <c r="H219" s="633">
        <f>+'SOS Results Table 1'!B30</f>
        <v>255</v>
      </c>
      <c r="I219" s="633" t="str">
        <f>+'SOS Results Table 1'!C30</f>
        <v>11.255.25</v>
      </c>
      <c r="J219" s="633" t="str">
        <f>+'SOS Results Table 1'!F30</f>
        <v>Post College Advising &amp; Career Planning</v>
      </c>
      <c r="K219" s="659">
        <f>+'SOS Results Table 1'!I30</f>
        <v>0.86830491177082936</v>
      </c>
      <c r="L219" s="637">
        <f>+'SOS Results Table 1'!G30</f>
        <v>3.3037200788885106</v>
      </c>
      <c r="M219" s="637"/>
      <c r="N219" s="637"/>
      <c r="O219" s="637"/>
      <c r="P219" s="637" t="e">
        <f>+'SOS Results Table 1'!#REF!</f>
        <v>#REF!</v>
      </c>
      <c r="Q219" s="637" t="e">
        <f>+'SOS Results Table 1'!#REF!</f>
        <v>#REF!</v>
      </c>
      <c r="R219" s="637" t="s">
        <v>649</v>
      </c>
      <c r="S219" s="637"/>
    </row>
    <row r="220" spans="1:19">
      <c r="A220">
        <v>211</v>
      </c>
      <c r="B220" s="633" t="str">
        <f>+'Campus Selector'!$G$3</f>
        <v>Canton</v>
      </c>
      <c r="C220" s="634" t="s">
        <v>691</v>
      </c>
      <c r="D220" s="633" t="s">
        <v>414</v>
      </c>
      <c r="E220" s="633">
        <v>18</v>
      </c>
      <c r="F220" s="633">
        <v>256</v>
      </c>
      <c r="G220" s="633" t="b">
        <f t="shared" si="6"/>
        <v>1</v>
      </c>
      <c r="H220" s="633">
        <f>+'SOS Results Table 1'!B31</f>
        <v>256</v>
      </c>
      <c r="I220" s="633" t="str">
        <f>+'SOS Results Table 1'!C31</f>
        <v>11.256.25</v>
      </c>
      <c r="J220" s="633" t="str">
        <f>+'SOS Results Table 1'!F31</f>
        <v>Ancillary Campus Services &amp; Facilities</v>
      </c>
      <c r="K220" s="659">
        <f>+'SOS Results Table 1'!I31</f>
        <v>0.4460985703928349</v>
      </c>
      <c r="L220" s="637">
        <f>+'SOS Results Table 1'!G31</f>
        <v>3.3184793933319168</v>
      </c>
      <c r="M220" s="637"/>
      <c r="N220" s="637"/>
      <c r="O220" s="637"/>
      <c r="P220" s="637" t="e">
        <f>+'SOS Results Table 1'!#REF!</f>
        <v>#REF!</v>
      </c>
      <c r="Q220" s="637" t="e">
        <f>+'SOS Results Table 1'!#REF!</f>
        <v>#REF!</v>
      </c>
      <c r="R220" s="637" t="s">
        <v>649</v>
      </c>
      <c r="S220" s="637"/>
    </row>
    <row r="221" spans="1:19">
      <c r="A221">
        <v>212</v>
      </c>
      <c r="B221" s="633" t="str">
        <f>+'Campus Selector'!$G$3</f>
        <v>Canton</v>
      </c>
      <c r="C221" s="634" t="s">
        <v>691</v>
      </c>
      <c r="D221" s="633" t="s">
        <v>414</v>
      </c>
      <c r="E221" s="633">
        <v>19</v>
      </c>
      <c r="F221" s="633">
        <v>247</v>
      </c>
      <c r="G221" s="633" t="b">
        <f t="shared" si="6"/>
        <v>1</v>
      </c>
      <c r="H221" s="633">
        <f>+'SOS Results Table 1'!B32</f>
        <v>247</v>
      </c>
      <c r="I221" s="633" t="str">
        <f>+'SOS Results Table 1'!C32</f>
        <v>11.247.25</v>
      </c>
      <c r="J221" s="633" t="str">
        <f>+'SOS Results Table 1'!F32</f>
        <v>Campus Security</v>
      </c>
      <c r="K221" s="659">
        <f>+'SOS Results Table 1'!I32</f>
        <v>-0.30394297768207873</v>
      </c>
      <c r="L221" s="637">
        <f>+'SOS Results Table 1'!G32</f>
        <v>3.6537753222836096</v>
      </c>
      <c r="M221" s="637"/>
      <c r="N221" s="637"/>
      <c r="O221" s="637"/>
      <c r="P221" s="637" t="e">
        <f>+'SOS Results Table 1'!#REF!</f>
        <v>#REF!</v>
      </c>
      <c r="Q221" s="637" t="e">
        <f>+'SOS Results Table 1'!#REF!</f>
        <v>#REF!</v>
      </c>
      <c r="R221" s="637" t="s">
        <v>649</v>
      </c>
      <c r="S221" s="637"/>
    </row>
    <row r="222" spans="1:19">
      <c r="A222">
        <v>213</v>
      </c>
      <c r="L222" s="637"/>
      <c r="M222" s="637"/>
      <c r="N222" s="637"/>
      <c r="O222" s="637"/>
      <c r="P222" s="637"/>
      <c r="Q222" s="637"/>
      <c r="R222" s="637"/>
      <c r="S222" s="637"/>
    </row>
    <row r="223" spans="1:19">
      <c r="A223">
        <v>214</v>
      </c>
      <c r="B223" s="633" t="str">
        <f>+'Campus Selector'!$G$3</f>
        <v>Canton</v>
      </c>
      <c r="C223" s="634" t="s">
        <v>692</v>
      </c>
      <c r="D223" s="633" t="s">
        <v>413</v>
      </c>
      <c r="E223" s="633">
        <v>1</v>
      </c>
      <c r="F223" s="633">
        <v>289</v>
      </c>
      <c r="G223" s="633" t="b">
        <f t="shared" ref="G223:G247" si="7">+F223=H223</f>
        <v>1</v>
      </c>
      <c r="H223" s="633">
        <f>+'SOS Results Table 2'!B9</f>
        <v>289</v>
      </c>
      <c r="I223" s="633" t="str">
        <f>+'SOS Results Table 2'!C9</f>
        <v>11.289.25</v>
      </c>
      <c r="J223" s="633" t="str">
        <f>+'SOS Results Table 2'!F9</f>
        <v>Satisfaction with the College in General</v>
      </c>
      <c r="K223" s="659">
        <f>+'SOS Results Table 2'!K9</f>
        <v>3.5764705882352943</v>
      </c>
      <c r="L223" s="637">
        <f>+'SOS Results Table 2'!M9</f>
        <v>3.6077738515901059</v>
      </c>
      <c r="M223" s="637"/>
      <c r="N223" s="637"/>
      <c r="O223" s="637"/>
      <c r="P223" s="637" t="e">
        <f>+'SOS Results Table 2'!#REF!</f>
        <v>#REF!</v>
      </c>
      <c r="Q223" s="637" t="e">
        <f>+'SOS Results Table 2'!#REF!</f>
        <v>#REF!</v>
      </c>
      <c r="R223" s="637" t="s">
        <v>649</v>
      </c>
      <c r="S223" s="637"/>
    </row>
    <row r="224" spans="1:19">
      <c r="A224">
        <v>215</v>
      </c>
      <c r="B224" s="633" t="str">
        <f>+'Campus Selector'!$G$3</f>
        <v>Canton</v>
      </c>
      <c r="C224" s="634" t="s">
        <v>692</v>
      </c>
      <c r="D224" s="633" t="s">
        <v>413</v>
      </c>
      <c r="E224" s="633">
        <v>2</v>
      </c>
      <c r="F224" s="633">
        <v>288</v>
      </c>
      <c r="G224" s="633" t="b">
        <f t="shared" si="7"/>
        <v>1</v>
      </c>
      <c r="H224" s="633">
        <f>+'SOS Results Table 2'!B10</f>
        <v>288</v>
      </c>
      <c r="I224" s="633" t="str">
        <f>+'SOS Results Table 2'!C10</f>
        <v>11.288.25</v>
      </c>
      <c r="J224" s="633" t="str">
        <f>+'SOS Results Table 2'!F10</f>
        <v>Overall Impression of the Quality of Education</v>
      </c>
      <c r="K224" s="659">
        <f>+'SOS Results Table 2'!K10</f>
        <v>3.463743676222597</v>
      </c>
      <c r="L224" s="637">
        <f>+'SOS Results Table 2'!M10</f>
        <v>3.3836805555555554</v>
      </c>
      <c r="M224" s="637"/>
      <c r="N224" s="637"/>
      <c r="O224" s="637"/>
      <c r="P224" s="637" t="e">
        <f>+'SOS Results Table 2'!#REF!</f>
        <v>#REF!</v>
      </c>
      <c r="Q224" s="637" t="e">
        <f>+'SOS Results Table 2'!#REF!</f>
        <v>#REF!</v>
      </c>
      <c r="R224" s="637" t="s">
        <v>649</v>
      </c>
      <c r="S224" s="637"/>
    </row>
    <row r="225" spans="1:19">
      <c r="A225">
        <v>216</v>
      </c>
      <c r="B225" s="633" t="str">
        <f>+'Campus Selector'!$G$3</f>
        <v>Canton</v>
      </c>
      <c r="C225" s="634" t="s">
        <v>692</v>
      </c>
      <c r="D225" s="633" t="s">
        <v>413</v>
      </c>
      <c r="E225" s="633">
        <v>3</v>
      </c>
      <c r="F225" s="633">
        <v>287</v>
      </c>
      <c r="G225" s="633" t="b">
        <f t="shared" si="7"/>
        <v>1</v>
      </c>
      <c r="H225" s="633">
        <f>+'SOS Results Table 2'!B11</f>
        <v>287</v>
      </c>
      <c r="I225" s="633" t="str">
        <f>+'SOS Results Table 2'!C11</f>
        <v>11.287.25</v>
      </c>
      <c r="J225" s="633" t="str">
        <f>+'SOS Results Table 2'!F11</f>
        <v>Would Choose to Attend the College Again</v>
      </c>
      <c r="K225" s="659">
        <f>+'SOS Results Table 2'!K11</f>
        <v>3.563758389261745</v>
      </c>
      <c r="L225" s="637">
        <f>+'SOS Results Table 2'!M11</f>
        <v>3.5555555555555554</v>
      </c>
      <c r="M225" s="637"/>
      <c r="N225" s="637"/>
      <c r="O225" s="637"/>
      <c r="P225" s="637" t="e">
        <f>+'SOS Results Table 2'!#REF!</f>
        <v>#REF!</v>
      </c>
      <c r="Q225" s="637" t="e">
        <f>+'SOS Results Table 2'!#REF!</f>
        <v>#REF!</v>
      </c>
      <c r="R225" s="637" t="s">
        <v>649</v>
      </c>
      <c r="S225" s="637"/>
    </row>
    <row r="226" spans="1:19">
      <c r="A226">
        <v>217</v>
      </c>
      <c r="B226" s="633" t="str">
        <f>+'Campus Selector'!$G$3</f>
        <v>Canton</v>
      </c>
      <c r="C226" s="634" t="s">
        <v>692</v>
      </c>
      <c r="D226" s="633" t="s">
        <v>413</v>
      </c>
      <c r="E226" s="633">
        <v>4</v>
      </c>
      <c r="F226" s="633">
        <v>290</v>
      </c>
      <c r="G226" s="633" t="b">
        <f t="shared" si="7"/>
        <v>1</v>
      </c>
      <c r="H226" s="633">
        <f>+'SOS Results Table 2'!B12</f>
        <v>290</v>
      </c>
      <c r="I226" s="633" t="str">
        <f>+'SOS Results Table 2'!C12</f>
        <v>11.290.25</v>
      </c>
      <c r="J226" s="633" t="str">
        <f>+'SOS Results Table 2'!F12</f>
        <v>Academic Experiences (compared to expectations)</v>
      </c>
      <c r="K226" s="659">
        <f>+'SOS Results Table 2'!K12</f>
        <v>2.8154362416107381</v>
      </c>
      <c r="L226" s="637">
        <f>+'SOS Results Table 2'!M12</f>
        <v>2.9930191972076789</v>
      </c>
      <c r="M226" s="637"/>
      <c r="N226" s="637"/>
      <c r="O226" s="637"/>
      <c r="P226" s="637" t="e">
        <f>+'SOS Results Table 2'!#REF!</f>
        <v>#REF!</v>
      </c>
      <c r="Q226" s="637" t="e">
        <f>+'SOS Results Table 2'!#REF!</f>
        <v>#REF!</v>
      </c>
      <c r="R226" s="637" t="s">
        <v>649</v>
      </c>
      <c r="S226" s="637"/>
    </row>
    <row r="227" spans="1:19">
      <c r="A227">
        <v>218</v>
      </c>
      <c r="B227" s="633" t="str">
        <f>+'Campus Selector'!$G$3</f>
        <v>Canton</v>
      </c>
      <c r="C227" s="634" t="s">
        <v>692</v>
      </c>
      <c r="D227" s="633" t="s">
        <v>413</v>
      </c>
      <c r="E227" s="633">
        <v>5</v>
      </c>
      <c r="F227" s="633">
        <v>291</v>
      </c>
      <c r="G227" s="633" t="b">
        <f t="shared" si="7"/>
        <v>1</v>
      </c>
      <c r="H227" s="633">
        <f>+'SOS Results Table 2'!B13</f>
        <v>291</v>
      </c>
      <c r="I227" s="633" t="str">
        <f>+'SOS Results Table 2'!C13</f>
        <v>11.291.25</v>
      </c>
      <c r="J227" s="633" t="str">
        <f>+'SOS Results Table 2'!F13</f>
        <v>Helped Me Meet the Goals I Came Here to Achieve</v>
      </c>
      <c r="K227" s="659">
        <f>+'SOS Results Table 2'!K13</f>
        <v>3.5094017094017094</v>
      </c>
      <c r="L227" s="637">
        <f>+'SOS Results Table 2'!M13</f>
        <v>3.5648312611012432</v>
      </c>
      <c r="M227" s="637"/>
      <c r="N227" s="637"/>
      <c r="O227" s="637"/>
      <c r="P227" s="637" t="e">
        <f>+'SOS Results Table 2'!#REF!</f>
        <v>#REF!</v>
      </c>
      <c r="Q227" s="637" t="e">
        <f>+'SOS Results Table 2'!#REF!</f>
        <v>#REF!</v>
      </c>
      <c r="R227" s="637" t="s">
        <v>649</v>
      </c>
      <c r="S227" s="637"/>
    </row>
    <row r="228" spans="1:19">
      <c r="A228">
        <v>219</v>
      </c>
      <c r="B228" s="633" t="str">
        <f>+'Campus Selector'!$G$3</f>
        <v>Canton</v>
      </c>
      <c r="C228" s="634" t="s">
        <v>692</v>
      </c>
      <c r="D228" s="633" t="s">
        <v>413</v>
      </c>
      <c r="E228" s="633">
        <v>6</v>
      </c>
      <c r="F228" s="633">
        <v>292</v>
      </c>
      <c r="G228" s="633" t="b">
        <f t="shared" si="7"/>
        <v>1</v>
      </c>
      <c r="H228" s="633">
        <f>+'SOS Results Table 2'!B14</f>
        <v>292</v>
      </c>
      <c r="I228" s="633" t="str">
        <f>+'SOS Results Table 2'!C14</f>
        <v>11.292.25</v>
      </c>
      <c r="J228" s="633" t="str">
        <f>+'SOS Results Table 2'!F14</f>
        <v>Faculty Used Innovative Technology to Facilitate Learning</v>
      </c>
      <c r="K228" s="659">
        <f>+'SOS Results Table 2'!K14</f>
        <v>3.3231810490693738</v>
      </c>
      <c r="L228" s="637">
        <f>+'SOS Results Table 2'!M14</f>
        <v>3.2959001782531194</v>
      </c>
      <c r="M228" s="637"/>
      <c r="N228" s="637"/>
      <c r="O228" s="637"/>
      <c r="P228" s="637" t="e">
        <f>+'SOS Results Table 2'!#REF!</f>
        <v>#REF!</v>
      </c>
      <c r="Q228" s="637" t="e">
        <f>+'SOS Results Table 2'!#REF!</f>
        <v>#REF!</v>
      </c>
      <c r="R228" s="637" t="s">
        <v>649</v>
      </c>
      <c r="S228" s="637"/>
    </row>
    <row r="229" spans="1:19">
      <c r="A229">
        <v>220</v>
      </c>
      <c r="B229" s="633" t="str">
        <f>+'Campus Selector'!$G$3</f>
        <v>Canton</v>
      </c>
      <c r="C229" s="634" t="s">
        <v>692</v>
      </c>
      <c r="D229" s="633" t="s">
        <v>413</v>
      </c>
      <c r="E229" s="633">
        <v>7</v>
      </c>
      <c r="F229" s="633">
        <v>293</v>
      </c>
      <c r="G229" s="633" t="b">
        <f t="shared" si="7"/>
        <v>1</v>
      </c>
      <c r="H229" s="633">
        <f>+'SOS Results Table 2'!B15</f>
        <v>293</v>
      </c>
      <c r="I229" s="633" t="str">
        <f>+'SOS Results Table 2'!C15</f>
        <v>11.293.25</v>
      </c>
      <c r="J229" s="633" t="str">
        <f>+'SOS Results Table 2'!F15</f>
        <v>Engaged in Research or Other Creative Projects</v>
      </c>
      <c r="K229" s="659" t="str">
        <f>+'SOS Results Table 2'!K15</f>
        <v>n/a</v>
      </c>
      <c r="L229" s="637">
        <f>+'SOS Results Table 2'!M15</f>
        <v>2.9432624113475176</v>
      </c>
      <c r="M229" s="637"/>
      <c r="N229" s="637"/>
      <c r="O229" s="637"/>
      <c r="P229" s="637" t="e">
        <f>+'SOS Results Table 2'!#REF!</f>
        <v>#REF!</v>
      </c>
      <c r="Q229" s="637" t="e">
        <f>+'SOS Results Table 2'!#REF!</f>
        <v>#REF!</v>
      </c>
      <c r="R229" s="637" t="s">
        <v>649</v>
      </c>
      <c r="S229" s="637"/>
    </row>
    <row r="230" spans="1:19">
      <c r="A230">
        <v>221</v>
      </c>
      <c r="B230" s="633" t="str">
        <f>+'Campus Selector'!$G$3</f>
        <v>Canton</v>
      </c>
      <c r="C230" s="634" t="s">
        <v>692</v>
      </c>
      <c r="D230" s="633" t="s">
        <v>413</v>
      </c>
      <c r="E230" s="633">
        <v>8</v>
      </c>
      <c r="F230" s="633">
        <v>286</v>
      </c>
      <c r="G230" s="633" t="b">
        <f t="shared" si="7"/>
        <v>1</v>
      </c>
      <c r="H230" s="633">
        <f>+'SOS Results Table 2'!B16</f>
        <v>286</v>
      </c>
      <c r="I230" s="633" t="str">
        <f>+'SOS Results Table 2'!C16</f>
        <v>11.286.25</v>
      </c>
      <c r="J230" s="633" t="str">
        <f>+'SOS Results Table 2'!F16</f>
        <v>Acquiring Knowledge and Skills for a Career</v>
      </c>
      <c r="K230" s="659">
        <f>+'SOS Results Table 2'!K16</f>
        <v>3.6866438356164384</v>
      </c>
      <c r="L230" s="637">
        <f>+'SOS Results Table 2'!M16</f>
        <v>3.6525573192239857</v>
      </c>
      <c r="M230" s="637"/>
      <c r="N230" s="637"/>
      <c r="O230" s="637"/>
      <c r="P230" s="637" t="e">
        <f>+'SOS Results Table 2'!#REF!</f>
        <v>#REF!</v>
      </c>
      <c r="Q230" s="637" t="e">
        <f>+'SOS Results Table 2'!#REF!</f>
        <v>#REF!</v>
      </c>
      <c r="R230" s="637" t="s">
        <v>649</v>
      </c>
      <c r="S230" s="637"/>
    </row>
    <row r="231" spans="1:19">
      <c r="A231">
        <v>222</v>
      </c>
      <c r="B231" s="633" t="str">
        <f>+'Campus Selector'!$G$3</f>
        <v>Canton</v>
      </c>
      <c r="C231" s="634" t="s">
        <v>692</v>
      </c>
      <c r="D231" s="633" t="s">
        <v>413</v>
      </c>
      <c r="E231" s="633">
        <v>9</v>
      </c>
      <c r="F231" s="633">
        <v>304</v>
      </c>
      <c r="G231" s="633" t="b">
        <f t="shared" si="7"/>
        <v>1</v>
      </c>
      <c r="H231" s="633">
        <f>+'SOS Results Table 2'!B17</f>
        <v>304</v>
      </c>
      <c r="I231" s="633" t="str">
        <f>+'SOS Results Table 2'!C17</f>
        <v>11.304.25</v>
      </c>
      <c r="J231" s="633" t="str">
        <f>+'SOS Results Table 2'!F17</f>
        <v>Understanding and Appreciating Diversity</v>
      </c>
      <c r="K231" s="659">
        <f>+'SOS Results Table 2'!K17</f>
        <v>3.0567986230636834</v>
      </c>
      <c r="L231" s="637">
        <f>+'SOS Results Table 2'!M17</f>
        <v>3.0070298769771528</v>
      </c>
      <c r="M231" s="637"/>
      <c r="N231" s="637"/>
      <c r="O231" s="637"/>
      <c r="P231" s="637" t="e">
        <f>+'SOS Results Table 2'!#REF!</f>
        <v>#REF!</v>
      </c>
      <c r="Q231" s="637" t="e">
        <f>+'SOS Results Table 2'!#REF!</f>
        <v>#REF!</v>
      </c>
      <c r="R231" s="637" t="s">
        <v>649</v>
      </c>
      <c r="S231" s="637"/>
    </row>
    <row r="232" spans="1:19">
      <c r="A232">
        <v>223</v>
      </c>
      <c r="B232" s="633" t="str">
        <f>+'Campus Selector'!$G$3</f>
        <v>Canton</v>
      </c>
      <c r="C232" s="634" t="s">
        <v>692</v>
      </c>
      <c r="D232" s="633" t="s">
        <v>413</v>
      </c>
      <c r="E232" s="633">
        <v>10</v>
      </c>
      <c r="F232" s="633">
        <v>276</v>
      </c>
      <c r="G232" s="633" t="b">
        <f t="shared" si="7"/>
        <v>1</v>
      </c>
      <c r="H232" s="633">
        <f>+'SOS Results Table 2'!B20</f>
        <v>276</v>
      </c>
      <c r="I232" s="633" t="str">
        <f>+'SOS Results Table 2'!C20</f>
        <v>11.276.25</v>
      </c>
      <c r="J232" s="633" t="str">
        <f>+'SOS Results Table 2'!F20</f>
        <v>Quality of Instruction</v>
      </c>
      <c r="K232" s="659">
        <f>+'SOS Results Table 2'!K20</f>
        <v>3.7745974955277282</v>
      </c>
      <c r="L232" s="637">
        <f>+'SOS Results Table 2'!M20</f>
        <v>3.7481203007518795</v>
      </c>
      <c r="M232" s="637"/>
      <c r="N232" s="637"/>
      <c r="O232" s="637"/>
      <c r="P232" s="637" t="e">
        <f>+'SOS Results Table 2'!#REF!</f>
        <v>#REF!</v>
      </c>
      <c r="Q232" s="637" t="e">
        <f>+'SOS Results Table 2'!#REF!</f>
        <v>#REF!</v>
      </c>
      <c r="R232" s="637" t="s">
        <v>649</v>
      </c>
      <c r="S232" s="637"/>
    </row>
    <row r="233" spans="1:19">
      <c r="A233">
        <v>224</v>
      </c>
      <c r="B233" s="633" t="str">
        <f>+'Campus Selector'!$G$3</f>
        <v>Canton</v>
      </c>
      <c r="C233" s="634" t="s">
        <v>692</v>
      </c>
      <c r="D233" s="633" t="s">
        <v>413</v>
      </c>
      <c r="E233" s="633">
        <v>11</v>
      </c>
      <c r="F233" s="633">
        <v>277</v>
      </c>
      <c r="G233" s="633" t="b">
        <f t="shared" si="7"/>
        <v>1</v>
      </c>
      <c r="H233" s="633">
        <f>+'SOS Results Table 2'!B21</f>
        <v>277</v>
      </c>
      <c r="I233" s="633" t="str">
        <f>+'SOS Results Table 2'!C21</f>
        <v>11.277.25</v>
      </c>
      <c r="J233" s="633" t="str">
        <f>+'SOS Results Table 2'!F21</f>
        <v>Academic Advising, General</v>
      </c>
      <c r="K233" s="659">
        <f>+'SOS Results Table 2'!K21</f>
        <v>3.5979166666666669</v>
      </c>
      <c r="L233" s="637">
        <f>+'SOS Results Table 2'!M21</f>
        <v>3.8072805139186294</v>
      </c>
      <c r="M233" s="637"/>
      <c r="N233" s="637"/>
      <c r="O233" s="637"/>
      <c r="P233" s="637" t="e">
        <f>+'SOS Results Table 2'!#REF!</f>
        <v>#REF!</v>
      </c>
      <c r="Q233" s="637" t="e">
        <f>+'SOS Results Table 2'!#REF!</f>
        <v>#REF!</v>
      </c>
      <c r="R233" s="637" t="s">
        <v>649</v>
      </c>
      <c r="S233" s="637"/>
    </row>
    <row r="234" spans="1:19">
      <c r="A234">
        <v>225</v>
      </c>
      <c r="B234" s="633" t="str">
        <f>+'Campus Selector'!$G$3</f>
        <v>Canton</v>
      </c>
      <c r="C234" s="634" t="s">
        <v>692</v>
      </c>
      <c r="D234" s="633" t="s">
        <v>413</v>
      </c>
      <c r="E234" s="633">
        <v>12</v>
      </c>
      <c r="F234" s="633">
        <v>279</v>
      </c>
      <c r="G234" s="633" t="b">
        <f t="shared" si="7"/>
        <v>1</v>
      </c>
      <c r="H234" s="633">
        <f>+'SOS Results Table 2'!B22</f>
        <v>279</v>
      </c>
      <c r="I234" s="633" t="str">
        <f>+'SOS Results Table 2'!C22</f>
        <v>11.279.25</v>
      </c>
      <c r="J234" s="633" t="str">
        <f>+'SOS Results Table 2'!F22</f>
        <v>Access to Computing / College Computer Network</v>
      </c>
      <c r="K234" s="659">
        <f>+'SOS Results Table 2'!K22</f>
        <v>3.6846011131725418</v>
      </c>
      <c r="L234" s="637">
        <f>+'SOS Results Table 2'!M22</f>
        <v>3.8273809523809526</v>
      </c>
      <c r="M234" s="637"/>
      <c r="N234" s="637"/>
      <c r="O234" s="637"/>
      <c r="P234" s="637" t="e">
        <f>+'SOS Results Table 2'!#REF!</f>
        <v>#REF!</v>
      </c>
      <c r="Q234" s="637" t="e">
        <f>+'SOS Results Table 2'!#REF!</f>
        <v>#REF!</v>
      </c>
      <c r="R234" s="637" t="s">
        <v>649</v>
      </c>
      <c r="S234" s="637"/>
    </row>
    <row r="235" spans="1:19">
      <c r="A235">
        <v>226</v>
      </c>
      <c r="B235" s="633" t="str">
        <f>+'Campus Selector'!$G$3</f>
        <v>Canton</v>
      </c>
      <c r="C235" s="634" t="s">
        <v>692</v>
      </c>
      <c r="D235" s="633" t="s">
        <v>413</v>
      </c>
      <c r="E235" s="633">
        <v>13</v>
      </c>
      <c r="F235" s="633">
        <v>278</v>
      </c>
      <c r="G235" s="633" t="b">
        <f t="shared" si="7"/>
        <v>1</v>
      </c>
      <c r="H235" s="633">
        <f>+'SOS Results Table 2'!B23</f>
        <v>278</v>
      </c>
      <c r="I235" s="633" t="str">
        <f>+'SOS Results Table 2'!C23</f>
        <v>11.278.25</v>
      </c>
      <c r="J235" s="633" t="str">
        <f>+'SOS Results Table 2'!F23</f>
        <v>Library Resources and Services</v>
      </c>
      <c r="K235" s="659">
        <f>+'SOS Results Table 2'!K23</f>
        <v>3.9183673469387754</v>
      </c>
      <c r="L235" s="637">
        <f>+'SOS Results Table 2'!M23</f>
        <v>4.1758893280632412</v>
      </c>
      <c r="M235" s="637"/>
      <c r="N235" s="637"/>
      <c r="O235" s="637"/>
      <c r="P235" s="637" t="e">
        <f>+'SOS Results Table 2'!#REF!</f>
        <v>#REF!</v>
      </c>
      <c r="Q235" s="637" t="e">
        <f>+'SOS Results Table 2'!#REF!</f>
        <v>#REF!</v>
      </c>
      <c r="R235" s="637" t="s">
        <v>649</v>
      </c>
      <c r="S235" s="637"/>
    </row>
    <row r="236" spans="1:19">
      <c r="A236">
        <v>227</v>
      </c>
      <c r="B236" s="633" t="str">
        <f>+'Campus Selector'!$G$3</f>
        <v>Canton</v>
      </c>
      <c r="C236" s="634" t="s">
        <v>692</v>
      </c>
      <c r="D236" s="633" t="s">
        <v>413</v>
      </c>
      <c r="E236" s="633">
        <v>14</v>
      </c>
      <c r="F236" s="633">
        <v>280</v>
      </c>
      <c r="G236" s="633" t="b">
        <f t="shared" si="7"/>
        <v>1</v>
      </c>
      <c r="H236" s="633">
        <f>+'SOS Results Table 2'!B24</f>
        <v>280</v>
      </c>
      <c r="I236" s="633" t="str">
        <f>+'SOS Results Table 2'!C24</f>
        <v>11.280.25</v>
      </c>
      <c r="J236" s="633" t="str">
        <f>+'SOS Results Table 2'!F24</f>
        <v>Class Size Relative to Course Type</v>
      </c>
      <c r="K236" s="659">
        <f>+'SOS Results Table 2'!K24</f>
        <v>3.9519572953736657</v>
      </c>
      <c r="L236" s="637">
        <f>+'SOS Results Table 2'!M24</f>
        <v>4.1142322097378274</v>
      </c>
      <c r="M236" s="637"/>
      <c r="N236" s="637"/>
      <c r="O236" s="637"/>
      <c r="P236" s="637" t="e">
        <f>+'SOS Results Table 2'!#REF!</f>
        <v>#REF!</v>
      </c>
      <c r="Q236" s="637" t="e">
        <f>+'SOS Results Table 2'!#REF!</f>
        <v>#REF!</v>
      </c>
      <c r="R236" s="637" t="s">
        <v>649</v>
      </c>
      <c r="S236" s="637"/>
    </row>
    <row r="237" spans="1:19">
      <c r="A237">
        <v>228</v>
      </c>
      <c r="B237" s="633" t="str">
        <f>+'Campus Selector'!$G$3</f>
        <v>Canton</v>
      </c>
      <c r="C237" s="634" t="s">
        <v>692</v>
      </c>
      <c r="D237" s="633" t="s">
        <v>413</v>
      </c>
      <c r="E237" s="633">
        <v>15</v>
      </c>
      <c r="F237" s="633">
        <v>281</v>
      </c>
      <c r="G237" s="633" t="b">
        <f t="shared" si="7"/>
        <v>1</v>
      </c>
      <c r="H237" s="633">
        <f>+'SOS Results Table 2'!B25</f>
        <v>281</v>
      </c>
      <c r="I237" s="633" t="str">
        <f>+'SOS Results Table 2'!C25</f>
        <v>11.281.25</v>
      </c>
      <c r="J237" s="633" t="str">
        <f>+'SOS Results Table 2'!F25</f>
        <v>Availability of Courses in Major</v>
      </c>
      <c r="K237" s="659">
        <f>+'SOS Results Table 2'!K25</f>
        <v>3.5907473309608542</v>
      </c>
      <c r="L237" s="637">
        <f>+'SOS Results Table 2'!M25</f>
        <v>3.8216318785578749</v>
      </c>
      <c r="M237" s="637"/>
      <c r="N237" s="637"/>
      <c r="O237" s="637"/>
      <c r="P237" s="637" t="e">
        <f>+'SOS Results Table 2'!#REF!</f>
        <v>#REF!</v>
      </c>
      <c r="Q237" s="637" t="e">
        <f>+'SOS Results Table 2'!#REF!</f>
        <v>#REF!</v>
      </c>
      <c r="R237" s="637" t="s">
        <v>649</v>
      </c>
      <c r="S237" s="637"/>
    </row>
    <row r="238" spans="1:19">
      <c r="A238">
        <v>229</v>
      </c>
      <c r="B238" s="633" t="str">
        <f>+'Campus Selector'!$G$3</f>
        <v>Canton</v>
      </c>
      <c r="C238" s="634" t="s">
        <v>692</v>
      </c>
      <c r="D238" s="633" t="s">
        <v>413</v>
      </c>
      <c r="E238" s="633">
        <v>16</v>
      </c>
      <c r="F238" s="633">
        <v>294</v>
      </c>
      <c r="G238" s="633" t="b">
        <f t="shared" si="7"/>
        <v>1</v>
      </c>
      <c r="H238" s="633">
        <f>+'SOS Results Table 2'!B26</f>
        <v>294</v>
      </c>
      <c r="I238" s="633" t="str">
        <f>+'SOS Results Table 2'!C26</f>
        <v>11.294.25</v>
      </c>
      <c r="J238" s="633" t="str">
        <f>+'SOS Results Table 2'!F26</f>
        <v>Availability of Gen Ed Courses</v>
      </c>
      <c r="K238" s="659">
        <f>+'SOS Results Table 2'!K26</f>
        <v>3.59375</v>
      </c>
      <c r="L238" s="637">
        <f>+'SOS Results Table 2'!M26</f>
        <v>3.6593625498007967</v>
      </c>
      <c r="M238" s="637"/>
      <c r="N238" s="637"/>
      <c r="O238" s="637"/>
      <c r="P238" s="637" t="e">
        <f>+'SOS Results Table 2'!#REF!</f>
        <v>#REF!</v>
      </c>
      <c r="Q238" s="637" t="e">
        <f>+'SOS Results Table 2'!#REF!</f>
        <v>#REF!</v>
      </c>
      <c r="R238" s="637" t="s">
        <v>649</v>
      </c>
      <c r="S238" s="637"/>
    </row>
    <row r="239" spans="1:19">
      <c r="A239">
        <v>230</v>
      </c>
      <c r="B239" s="633" t="str">
        <f>+'Campus Selector'!$G$3</f>
        <v>Canton</v>
      </c>
      <c r="C239" s="634" t="s">
        <v>692</v>
      </c>
      <c r="D239" s="633" t="s">
        <v>413</v>
      </c>
      <c r="E239" s="633">
        <v>17</v>
      </c>
      <c r="F239" s="633">
        <v>295</v>
      </c>
      <c r="G239" s="633" t="b">
        <f t="shared" si="7"/>
        <v>1</v>
      </c>
      <c r="H239" s="633">
        <f>+'SOS Results Table 2'!B27</f>
        <v>295</v>
      </c>
      <c r="I239" s="633" t="str">
        <f>+'SOS Results Table 2'!C27</f>
        <v>11.295.25</v>
      </c>
      <c r="J239" s="633" t="str">
        <f>+'SOS Results Table 2'!F27</f>
        <v>Availability of Internships</v>
      </c>
      <c r="K239" s="659">
        <f>+'SOS Results Table 2'!K27</f>
        <v>3.0971223021582732</v>
      </c>
      <c r="L239" s="637">
        <f>+'SOS Results Table 2'!M27</f>
        <v>3.2819672131147541</v>
      </c>
      <c r="M239" s="637"/>
      <c r="N239" s="637"/>
      <c r="O239" s="637"/>
      <c r="P239" s="637" t="e">
        <f>+'SOS Results Table 2'!#REF!</f>
        <v>#REF!</v>
      </c>
      <c r="Q239" s="637" t="e">
        <f>+'SOS Results Table 2'!#REF!</f>
        <v>#REF!</v>
      </c>
      <c r="R239" s="637" t="s">
        <v>649</v>
      </c>
      <c r="S239" s="637"/>
    </row>
    <row r="240" spans="1:19">
      <c r="A240">
        <v>231</v>
      </c>
      <c r="B240" s="633" t="str">
        <f>+'Campus Selector'!$G$3</f>
        <v>Canton</v>
      </c>
      <c r="C240" s="634" t="s">
        <v>692</v>
      </c>
      <c r="D240" s="633" t="s">
        <v>413</v>
      </c>
      <c r="E240" s="633">
        <v>18</v>
      </c>
      <c r="F240" s="633">
        <v>282</v>
      </c>
      <c r="G240" s="633" t="b">
        <f t="shared" si="7"/>
        <v>1</v>
      </c>
      <c r="H240" s="633">
        <f>+'SOS Results Table 2'!B28</f>
        <v>282</v>
      </c>
      <c r="I240" s="633" t="str">
        <f>+'SOS Results Table 2'!C28</f>
        <v>11.282.25</v>
      </c>
      <c r="J240" s="633" t="str">
        <f>+'SOS Results Table 2'!F28</f>
        <v>General Condition of Buildings and Grounds</v>
      </c>
      <c r="K240" s="659">
        <f>+'SOS Results Table 2'!K28</f>
        <v>3.5538461538461537</v>
      </c>
      <c r="L240" s="637">
        <f>+'SOS Results Table 2'!M28</f>
        <v>3.5490909090909093</v>
      </c>
      <c r="M240" s="637"/>
      <c r="N240" s="637"/>
      <c r="O240" s="637"/>
      <c r="P240" s="637" t="e">
        <f>+'SOS Results Table 2'!#REF!</f>
        <v>#REF!</v>
      </c>
      <c r="Q240" s="637" t="e">
        <f>+'SOS Results Table 2'!#REF!</f>
        <v>#REF!</v>
      </c>
      <c r="R240" s="637" t="s">
        <v>649</v>
      </c>
      <c r="S240" s="637"/>
    </row>
    <row r="241" spans="1:19">
      <c r="A241">
        <v>232</v>
      </c>
      <c r="B241" s="633" t="str">
        <f>+'Campus Selector'!$G$3</f>
        <v>Canton</v>
      </c>
      <c r="C241" s="634" t="s">
        <v>692</v>
      </c>
      <c r="D241" s="633" t="s">
        <v>413</v>
      </c>
      <c r="E241" s="633">
        <v>19</v>
      </c>
      <c r="F241" s="633">
        <v>285</v>
      </c>
      <c r="G241" s="633" t="b">
        <f t="shared" si="7"/>
        <v>1</v>
      </c>
      <c r="H241" s="633">
        <f>+'SOS Results Table 2'!B31</f>
        <v>285</v>
      </c>
      <c r="I241" s="633" t="str">
        <f>+'SOS Results Table 2'!C31</f>
        <v>11.285.25</v>
      </c>
      <c r="J241" s="633" t="str">
        <f>+'SOS Results Table 2'!F31</f>
        <v>Sense of Belonging</v>
      </c>
      <c r="K241" s="659">
        <f>+'SOS Results Table 2'!K31</f>
        <v>3.5195911413969334</v>
      </c>
      <c r="L241" s="637">
        <f>+'SOS Results Table 2'!M31</f>
        <v>3.5197132616487457</v>
      </c>
      <c r="M241" s="637"/>
      <c r="N241" s="637"/>
      <c r="O241" s="637"/>
      <c r="P241" s="637" t="e">
        <f>+'SOS Results Table 2'!#REF!</f>
        <v>#REF!</v>
      </c>
      <c r="Q241" s="637" t="e">
        <f>+'SOS Results Table 2'!#REF!</f>
        <v>#REF!</v>
      </c>
      <c r="R241" s="637" t="s">
        <v>649</v>
      </c>
      <c r="S241" s="637"/>
    </row>
    <row r="242" spans="1:19">
      <c r="A242">
        <v>233</v>
      </c>
      <c r="B242" s="633" t="str">
        <f>+'Campus Selector'!$G$3</f>
        <v>Canton</v>
      </c>
      <c r="C242" s="634" t="s">
        <v>692</v>
      </c>
      <c r="D242" s="633" t="s">
        <v>413</v>
      </c>
      <c r="E242" s="633">
        <v>20</v>
      </c>
      <c r="F242" s="633">
        <v>284</v>
      </c>
      <c r="G242" s="633" t="b">
        <f t="shared" si="7"/>
        <v>1</v>
      </c>
      <c r="H242" s="633">
        <f>+'SOS Results Table 2'!B32</f>
        <v>284</v>
      </c>
      <c r="I242" s="633" t="str">
        <f>+'SOS Results Table 2'!C32</f>
        <v>11.284.25</v>
      </c>
      <c r="J242" s="633" t="str">
        <f>+'SOS Results Table 2'!F32</f>
        <v>Faculty Respect for Students</v>
      </c>
      <c r="K242" s="659">
        <f>+'SOS Results Table 2'!K32</f>
        <v>3.8609715242881073</v>
      </c>
      <c r="L242" s="637">
        <f>+'SOS Results Table 2'!M32</f>
        <v>3.859154929577465</v>
      </c>
      <c r="M242" s="637"/>
      <c r="N242" s="637"/>
      <c r="O242" s="637"/>
      <c r="P242" s="637" t="e">
        <f>+'SOS Results Table 2'!#REF!</f>
        <v>#REF!</v>
      </c>
      <c r="Q242" s="637" t="e">
        <f>+'SOS Results Table 2'!#REF!</f>
        <v>#REF!</v>
      </c>
      <c r="R242" s="637" t="s">
        <v>649</v>
      </c>
      <c r="S242" s="637"/>
    </row>
    <row r="243" spans="1:19">
      <c r="A243">
        <v>234</v>
      </c>
      <c r="B243" s="633" t="str">
        <f>+'Campus Selector'!$G$3</f>
        <v>Canton</v>
      </c>
      <c r="C243" s="634" t="s">
        <v>692</v>
      </c>
      <c r="D243" s="633" t="s">
        <v>413</v>
      </c>
      <c r="E243" s="633">
        <v>21</v>
      </c>
      <c r="F243" s="633">
        <v>296</v>
      </c>
      <c r="G243" s="633" t="b">
        <f t="shared" si="7"/>
        <v>1</v>
      </c>
      <c r="H243" s="633">
        <f>+'SOS Results Table 2'!B33</f>
        <v>296</v>
      </c>
      <c r="I243" s="633" t="str">
        <f>+'SOS Results Table 2'!C33</f>
        <v>11.296.25</v>
      </c>
      <c r="J243" s="633" t="str">
        <f>+'SOS Results Table 2'!F33</f>
        <v>Personal Security/Safety</v>
      </c>
      <c r="K243" s="659">
        <f>+'SOS Results Table 2'!K33</f>
        <v>3.7055749128919859</v>
      </c>
      <c r="L243" s="637">
        <f>+'SOS Results Table 2'!M33</f>
        <v>3.6537753222836096</v>
      </c>
      <c r="M243" s="637"/>
      <c r="N243" s="637"/>
      <c r="O243" s="637"/>
      <c r="P243" s="637" t="e">
        <f>+'SOS Results Table 2'!#REF!</f>
        <v>#REF!</v>
      </c>
      <c r="Q243" s="637" t="e">
        <f>+'SOS Results Table 2'!#REF!</f>
        <v>#REF!</v>
      </c>
      <c r="R243" s="637" t="s">
        <v>649</v>
      </c>
      <c r="S243" s="637"/>
    </row>
    <row r="244" spans="1:19">
      <c r="A244">
        <v>235</v>
      </c>
      <c r="B244" s="633" t="str">
        <f>+'Campus Selector'!$G$3</f>
        <v>Canton</v>
      </c>
      <c r="C244" s="634" t="s">
        <v>692</v>
      </c>
      <c r="D244" s="633" t="s">
        <v>413</v>
      </c>
      <c r="E244" s="633">
        <v>22</v>
      </c>
      <c r="F244" s="633">
        <v>297</v>
      </c>
      <c r="G244" s="633" t="b">
        <f t="shared" si="7"/>
        <v>1</v>
      </c>
      <c r="H244" s="633">
        <f>+'SOS Results Table 2'!B34</f>
        <v>297</v>
      </c>
      <c r="I244" s="633" t="str">
        <f>+'SOS Results Table 2'!C34</f>
        <v>11.297.25</v>
      </c>
      <c r="J244" s="633" t="str">
        <f>+'SOS Results Table 2'!F34</f>
        <v>Sexual Assault Prevention Programs/Activities</v>
      </c>
      <c r="K244" s="659">
        <f>+'SOS Results Table 2'!K34</f>
        <v>3.3778501628664497</v>
      </c>
      <c r="L244" s="637">
        <f>+'SOS Results Table 2'!M34</f>
        <v>3.4701492537313432</v>
      </c>
      <c r="M244" s="637"/>
      <c r="N244" s="637"/>
      <c r="O244" s="637"/>
      <c r="P244" s="637" t="e">
        <f>+'SOS Results Table 2'!#REF!</f>
        <v>#REF!</v>
      </c>
      <c r="Q244" s="637" t="e">
        <f>+'SOS Results Table 2'!#REF!</f>
        <v>#REF!</v>
      </c>
      <c r="R244" s="637" t="s">
        <v>649</v>
      </c>
      <c r="S244" s="637"/>
    </row>
    <row r="245" spans="1:19">
      <c r="A245">
        <v>236</v>
      </c>
      <c r="B245" s="633" t="str">
        <f>+'Campus Selector'!$G$3</f>
        <v>Canton</v>
      </c>
      <c r="C245" s="634" t="s">
        <v>692</v>
      </c>
      <c r="D245" s="633" t="s">
        <v>413</v>
      </c>
      <c r="E245" s="633">
        <v>23</v>
      </c>
      <c r="F245" s="633">
        <v>298</v>
      </c>
      <c r="G245" s="633" t="b">
        <f t="shared" si="7"/>
        <v>1</v>
      </c>
      <c r="H245" s="633">
        <f>+'SOS Results Table 2'!B35</f>
        <v>298</v>
      </c>
      <c r="I245" s="633" t="str">
        <f>+'SOS Results Table 2'!C35</f>
        <v>11.298.25</v>
      </c>
      <c r="J245" s="633" t="str">
        <f>+'SOS Results Table 2'!F35</f>
        <v>Degree of Difficulty Financing College Education</v>
      </c>
      <c r="K245" s="659">
        <f>+'SOS Results Table 2'!K35</f>
        <v>3.1552901023890785</v>
      </c>
      <c r="L245" s="637">
        <f>+'SOS Results Table 2'!M35</f>
        <v>3.0106571936056836</v>
      </c>
      <c r="M245" s="637"/>
      <c r="N245" s="637"/>
      <c r="O245" s="637"/>
      <c r="P245" s="637" t="e">
        <f>+'SOS Results Table 2'!#REF!</f>
        <v>#REF!</v>
      </c>
      <c r="Q245" s="637" t="e">
        <f>+'SOS Results Table 2'!#REF!</f>
        <v>#REF!</v>
      </c>
      <c r="R245" s="637" t="s">
        <v>649</v>
      </c>
      <c r="S245" s="637"/>
    </row>
    <row r="246" spans="1:19">
      <c r="A246">
        <v>237</v>
      </c>
      <c r="B246" s="633" t="str">
        <f>+'Campus Selector'!$G$3</f>
        <v>Canton</v>
      </c>
      <c r="C246" s="634" t="s">
        <v>692</v>
      </c>
      <c r="D246" s="633" t="s">
        <v>413</v>
      </c>
      <c r="E246" s="633">
        <v>24</v>
      </c>
      <c r="F246" s="633">
        <v>299</v>
      </c>
      <c r="G246" s="633" t="b">
        <f t="shared" si="7"/>
        <v>1</v>
      </c>
      <c r="H246" s="633">
        <f>+'SOS Results Table 2'!B36</f>
        <v>299</v>
      </c>
      <c r="I246" s="633" t="str">
        <f>+'SOS Results Table 2'!C36</f>
        <v>11.299.25</v>
      </c>
      <c r="J246" s="633" t="str">
        <f>+'SOS Results Table 2'!F36</f>
        <v>Financial Aid Services</v>
      </c>
      <c r="K246" s="659">
        <f>+'SOS Results Table 2'!K36</f>
        <v>3.536412078152753</v>
      </c>
      <c r="L246" s="637">
        <f>+'SOS Results Table 2'!M36</f>
        <v>3.727788279773157</v>
      </c>
      <c r="M246" s="637"/>
      <c r="N246" s="637"/>
      <c r="O246" s="637"/>
      <c r="P246" s="637" t="e">
        <f>+'SOS Results Table 2'!#REF!</f>
        <v>#REF!</v>
      </c>
      <c r="Q246" s="637" t="e">
        <f>+'SOS Results Table 2'!#REF!</f>
        <v>#REF!</v>
      </c>
      <c r="R246" s="637" t="s">
        <v>649</v>
      </c>
      <c r="S246" s="637"/>
    </row>
    <row r="247" spans="1:19">
      <c r="A247">
        <v>238</v>
      </c>
      <c r="B247" s="633" t="str">
        <f>+'Campus Selector'!$G$3</f>
        <v>Canton</v>
      </c>
      <c r="C247" s="634" t="s">
        <v>692</v>
      </c>
      <c r="D247" s="633" t="s">
        <v>413</v>
      </c>
      <c r="E247" s="633">
        <v>25</v>
      </c>
      <c r="F247" s="633">
        <v>283</v>
      </c>
      <c r="G247" s="633" t="b">
        <f t="shared" si="7"/>
        <v>1</v>
      </c>
      <c r="H247" s="633">
        <f>+'SOS Results Table 2'!B37</f>
        <v>283</v>
      </c>
      <c r="I247" s="633" t="str">
        <f>+'SOS Results Table 2'!C37</f>
        <v>11.283.25</v>
      </c>
      <c r="J247" s="633" t="str">
        <f>+'SOS Results Table 2'!F37</f>
        <v>Condition of Residence Halls</v>
      </c>
      <c r="K247" s="659">
        <f>+'SOS Results Table 2'!K37</f>
        <v>2.8601583113456464</v>
      </c>
      <c r="L247" s="637">
        <f>+'SOS Results Table 2'!M37</f>
        <v>3.1122994652406417</v>
      </c>
      <c r="M247" s="637"/>
      <c r="N247" s="637"/>
      <c r="O247" s="637"/>
      <c r="P247" s="637" t="e">
        <f>+'SOS Results Table 2'!#REF!</f>
        <v>#REF!</v>
      </c>
      <c r="Q247" s="637" t="e">
        <f>+'SOS Results Table 2'!#REF!</f>
        <v>#REF!</v>
      </c>
      <c r="R247" s="637" t="s">
        <v>649</v>
      </c>
      <c r="S247" s="637"/>
    </row>
    <row r="248" spans="1:19">
      <c r="A248">
        <v>239</v>
      </c>
      <c r="G248" s="633" t="b">
        <f t="shared" ref="G248:G253" si="8">+F248=H248</f>
        <v>1</v>
      </c>
      <c r="L248" s="635"/>
      <c r="M248" s="635"/>
      <c r="N248" s="635"/>
      <c r="O248" s="635"/>
      <c r="P248" s="635"/>
      <c r="Q248" s="635"/>
      <c r="R248" s="635"/>
      <c r="S248" s="635"/>
    </row>
    <row r="249" spans="1:19">
      <c r="A249">
        <v>240</v>
      </c>
      <c r="B249" s="633" t="str">
        <f>+'Campus Selector'!$G$3</f>
        <v>Canton</v>
      </c>
      <c r="C249" s="634" t="s">
        <v>693</v>
      </c>
      <c r="D249" s="633" t="s">
        <v>573</v>
      </c>
      <c r="E249" s="633">
        <v>1</v>
      </c>
      <c r="F249" s="633">
        <v>209</v>
      </c>
      <c r="G249" s="633" t="b">
        <f t="shared" si="8"/>
        <v>1</v>
      </c>
      <c r="H249" s="633">
        <f>+'Financial Aid Literacy'!B11</f>
        <v>209</v>
      </c>
      <c r="I249" s="633" t="str">
        <f>+'Financial Aid Literacy'!C11</f>
        <v>16.209.25</v>
      </c>
      <c r="J249" s="633" t="str">
        <f>+'Financial Aid Literacy'!E11</f>
        <v>Default Rate - 2YR</v>
      </c>
      <c r="K249" s="633">
        <f>+'Financial Aid Literacy'!K11</f>
        <v>0</v>
      </c>
      <c r="L249" s="635">
        <f>+'Financial Aid Literacy'!H11</f>
        <v>0.129</v>
      </c>
      <c r="M249" s="635"/>
      <c r="N249" s="635"/>
      <c r="O249" s="635"/>
      <c r="P249" s="635">
        <f>+'Financial Aid Literacy'!I11</f>
        <v>0</v>
      </c>
      <c r="Q249" s="635">
        <f>+'Financial Aid Literacy'!J11</f>
        <v>0</v>
      </c>
      <c r="R249" s="635">
        <f>+'Financial Aid Literacy'!K11</f>
        <v>0</v>
      </c>
      <c r="S249" s="635"/>
    </row>
    <row r="250" spans="1:19">
      <c r="A250">
        <v>241</v>
      </c>
      <c r="B250" s="633" t="str">
        <f>+'Campus Selector'!$G$3</f>
        <v>Canton</v>
      </c>
      <c r="C250" s="634" t="s">
        <v>693</v>
      </c>
      <c r="D250" s="633" t="s">
        <v>573</v>
      </c>
      <c r="E250" s="633">
        <v>2</v>
      </c>
      <c r="F250" s="633">
        <v>215</v>
      </c>
      <c r="G250" s="633" t="b">
        <f t="shared" si="8"/>
        <v>1</v>
      </c>
      <c r="H250" s="633">
        <f>+'Financial Aid Literacy'!B12</f>
        <v>215</v>
      </c>
      <c r="I250" s="633" t="str">
        <f>+'Financial Aid Literacy'!C12</f>
        <v>16.215.25</v>
      </c>
      <c r="J250" s="633" t="str">
        <f>+'Financial Aid Literacy'!E12</f>
        <v>Default Rate - 3YR</v>
      </c>
      <c r="K250" s="656">
        <f>+'Financial Aid Literacy'!K12</f>
        <v>0.13</v>
      </c>
      <c r="L250" s="635">
        <f>+'Financial Aid Literacy'!H12</f>
        <v>0.17399999999999999</v>
      </c>
      <c r="M250" s="635"/>
      <c r="N250" s="635"/>
      <c r="O250" s="635"/>
      <c r="P250" s="635">
        <f>+'Financial Aid Literacy'!I12</f>
        <v>0.17</v>
      </c>
      <c r="Q250" s="635">
        <f>+'Financial Aid Literacy'!J12</f>
        <v>0.15</v>
      </c>
      <c r="R250" s="635">
        <f>+'Financial Aid Literacy'!K12</f>
        <v>0.13</v>
      </c>
      <c r="S250" s="635"/>
    </row>
    <row r="251" spans="1:19">
      <c r="A251">
        <v>242</v>
      </c>
      <c r="B251" s="633" t="str">
        <f>+'Campus Selector'!$G$3</f>
        <v>Canton</v>
      </c>
      <c r="C251" s="634" t="s">
        <v>693</v>
      </c>
      <c r="D251" s="633" t="s">
        <v>573</v>
      </c>
      <c r="E251" s="633">
        <v>3</v>
      </c>
      <c r="F251" s="633">
        <v>211</v>
      </c>
      <c r="G251" s="633" t="b">
        <f t="shared" si="8"/>
        <v>1</v>
      </c>
      <c r="H251" s="633">
        <f>+'Financial Aid Literacy'!B28</f>
        <v>211</v>
      </c>
      <c r="I251" s="633" t="str">
        <f>+'Financial Aid Literacy'!C28</f>
        <v>16.211.25</v>
      </c>
      <c r="J251" s="633" t="str">
        <f>+'Financial Aid Literacy'!E28</f>
        <v>Award Letter</v>
      </c>
      <c r="K251" s="633" t="str">
        <f>+'Financial Aid Literacy'!K28</f>
        <v>X</v>
      </c>
      <c r="L251" s="635" t="str">
        <f>+'Financial Aid Literacy'!H28</f>
        <v>X</v>
      </c>
      <c r="M251" s="635"/>
      <c r="N251" s="635"/>
      <c r="O251" s="635"/>
      <c r="P251" s="635" t="str">
        <f>+'Financial Aid Literacy'!I28</f>
        <v>X</v>
      </c>
      <c r="Q251" s="635" t="str">
        <f>+'Financial Aid Literacy'!J28</f>
        <v>X</v>
      </c>
      <c r="R251" s="635" t="str">
        <f>+'Financial Aid Literacy'!K28</f>
        <v>X</v>
      </c>
      <c r="S251" s="635"/>
    </row>
    <row r="252" spans="1:19">
      <c r="A252">
        <v>243</v>
      </c>
      <c r="B252" s="633" t="str">
        <f>+'Campus Selector'!$G$3</f>
        <v>Canton</v>
      </c>
      <c r="C252" s="634" t="s">
        <v>693</v>
      </c>
      <c r="D252" s="633" t="s">
        <v>573</v>
      </c>
      <c r="E252" s="633">
        <v>4</v>
      </c>
      <c r="F252" s="633">
        <v>212</v>
      </c>
      <c r="G252" s="633" t="b">
        <f t="shared" si="8"/>
        <v>1</v>
      </c>
      <c r="H252" s="633">
        <f>+'Financial Aid Literacy'!B29</f>
        <v>212</v>
      </c>
      <c r="I252" s="633" t="str">
        <f>+'Financial Aid Literacy'!C29</f>
        <v>16.212.25</v>
      </c>
      <c r="J252" s="633" t="str">
        <f>+'Financial Aid Literacy'!E29</f>
        <v>Financial Literacy Website</v>
      </c>
      <c r="K252" s="633" t="str">
        <f>+'Financial Aid Literacy'!K29</f>
        <v>X</v>
      </c>
      <c r="L252" s="635" t="str">
        <f>+'Financial Aid Literacy'!H29</f>
        <v xml:space="preserve"> </v>
      </c>
      <c r="M252" s="635"/>
      <c r="N252" s="635"/>
      <c r="O252" s="635"/>
      <c r="P252" s="635" t="str">
        <f>+'Financial Aid Literacy'!I29</f>
        <v>X</v>
      </c>
      <c r="Q252" s="635" t="str">
        <f>+'Financial Aid Literacy'!J29</f>
        <v>X</v>
      </c>
      <c r="R252" s="635" t="str">
        <f>+'Financial Aid Literacy'!K29</f>
        <v>X</v>
      </c>
      <c r="S252" s="635"/>
    </row>
    <row r="253" spans="1:19">
      <c r="A253">
        <v>244</v>
      </c>
      <c r="B253" s="633" t="str">
        <f>+'Campus Selector'!$G$3</f>
        <v>Canton</v>
      </c>
      <c r="C253" s="634" t="s">
        <v>693</v>
      </c>
      <c r="D253" s="633" t="s">
        <v>573</v>
      </c>
      <c r="E253" s="633">
        <v>5</v>
      </c>
      <c r="F253" s="633">
        <v>213</v>
      </c>
      <c r="G253" s="633" t="b">
        <f t="shared" si="8"/>
        <v>1</v>
      </c>
      <c r="H253" s="633">
        <f>+'Financial Aid Literacy'!B30</f>
        <v>213</v>
      </c>
      <c r="I253" s="633" t="str">
        <f>+'Financial Aid Literacy'!C30</f>
        <v>16.213.25</v>
      </c>
      <c r="J253" s="633" t="str">
        <f>+'Financial Aid Literacy'!E30</f>
        <v>Student Engagement (i.e. early alert)</v>
      </c>
      <c r="K253" s="656" t="str">
        <f>+'Financial Aid Literacy'!K30</f>
        <v>x</v>
      </c>
      <c r="L253" s="635" t="str">
        <f>+'Financial Aid Literacy'!H30</f>
        <v xml:space="preserve"> </v>
      </c>
      <c r="M253" s="635"/>
      <c r="N253" s="635"/>
      <c r="O253" s="635"/>
      <c r="P253" s="635" t="str">
        <f>+'Financial Aid Literacy'!I30</f>
        <v>x</v>
      </c>
      <c r="Q253" s="635" t="str">
        <f>+'Financial Aid Literacy'!J30</f>
        <v>x</v>
      </c>
      <c r="R253" s="635" t="str">
        <f>+'Financial Aid Literacy'!K30</f>
        <v>x</v>
      </c>
      <c r="S253" s="635"/>
    </row>
    <row r="254" spans="1:19">
      <c r="A254">
        <v>245</v>
      </c>
      <c r="B254" s="633" t="str">
        <f>+'Campus Selector'!$G$3</f>
        <v>Canton</v>
      </c>
      <c r="C254" s="634" t="s">
        <v>693</v>
      </c>
      <c r="D254" s="633" t="s">
        <v>573</v>
      </c>
      <c r="H254" s="633" t="e">
        <f>+'Financial Aid Literacy'!#REF!</f>
        <v>#REF!</v>
      </c>
      <c r="I254" s="633" t="e">
        <f>+'Financial Aid Literacy'!#REF!</f>
        <v>#REF!</v>
      </c>
      <c r="J254" s="633" t="e">
        <f>+'Financial Aid Literacy'!#REF!</f>
        <v>#REF!</v>
      </c>
      <c r="K254" s="633" t="e">
        <f>+'Financial Aid Literacy'!#REF!</f>
        <v>#REF!</v>
      </c>
      <c r="L254" s="635" t="e">
        <f>+'Financial Aid Literacy'!#REF!</f>
        <v>#REF!</v>
      </c>
      <c r="M254" s="635"/>
      <c r="N254" s="635"/>
      <c r="O254" s="635"/>
      <c r="P254" s="635" t="e">
        <f>+'Financial Aid Literacy'!#REF!</f>
        <v>#REF!</v>
      </c>
      <c r="Q254" s="635" t="e">
        <f>+'Financial Aid Literacy'!#REF!</f>
        <v>#REF!</v>
      </c>
      <c r="R254" s="635" t="e">
        <f>+'Financial Aid Literacy'!#REF!</f>
        <v>#REF!</v>
      </c>
      <c r="S254" s="635"/>
    </row>
    <row r="255" spans="1:19">
      <c r="A255">
        <v>246</v>
      </c>
      <c r="B255" s="633" t="str">
        <f>+'Campus Selector'!$G$3</f>
        <v>Canton</v>
      </c>
      <c r="C255" s="634" t="s">
        <v>693</v>
      </c>
      <c r="D255" s="633" t="s">
        <v>573</v>
      </c>
      <c r="H255" s="633">
        <f>+'Financial Aid Literacy'!B22</f>
        <v>0</v>
      </c>
      <c r="I255" s="633" t="str">
        <f>+'Financial Aid Literacy'!C22</f>
        <v>16.209.public 4 year</v>
      </c>
      <c r="J255" s="633" t="str">
        <f>+'Financial Aid Literacy'!E22</f>
        <v>Default Rate - 2YR</v>
      </c>
      <c r="K255" s="633" t="str">
        <f>+'Financial Aid Literacy'!K22</f>
        <v>-</v>
      </c>
      <c r="L255" s="635" t="str">
        <f>+'Financial Aid Literacy'!H22</f>
        <v>-</v>
      </c>
      <c r="M255" s="635"/>
      <c r="N255" s="635"/>
      <c r="O255" s="635"/>
      <c r="P255" s="635" t="str">
        <f>+'Financial Aid Literacy'!I22</f>
        <v>-</v>
      </c>
      <c r="Q255" s="635" t="str">
        <f>+'Financial Aid Literacy'!J22</f>
        <v>-</v>
      </c>
      <c r="R255" s="635" t="str">
        <f>+'Financial Aid Literacy'!K22</f>
        <v>-</v>
      </c>
      <c r="S255" s="635"/>
    </row>
    <row r="256" spans="1:19">
      <c r="A256">
        <v>247</v>
      </c>
      <c r="B256" s="633" t="str">
        <f>+'Campus Selector'!$G$3</f>
        <v>Canton</v>
      </c>
      <c r="C256" s="634" t="s">
        <v>693</v>
      </c>
      <c r="D256" s="633" t="s">
        <v>573</v>
      </c>
      <c r="H256" s="633">
        <f>+'Financial Aid Literacy'!B15</f>
        <v>215</v>
      </c>
      <c r="I256" s="633" t="str">
        <f>+'Financial Aid Literacy'!C15</f>
        <v>16.215.90</v>
      </c>
      <c r="J256" s="633" t="str">
        <f>+'Financial Aid Literacy'!E15</f>
        <v>Default Rate - 3YR2</v>
      </c>
      <c r="K256" s="633" t="str">
        <f>+'Financial Aid Literacy'!K15</f>
        <v>-</v>
      </c>
      <c r="L256" s="635" t="str">
        <f>+'Financial Aid Literacy'!H15</f>
        <v>-</v>
      </c>
      <c r="M256" s="635"/>
      <c r="N256" s="635"/>
      <c r="O256" s="635"/>
      <c r="P256" s="635" t="str">
        <f>+'Financial Aid Literacy'!I15</f>
        <v>-</v>
      </c>
      <c r="Q256" s="635" t="str">
        <f>+'Financial Aid Literacy'!J15</f>
        <v>-</v>
      </c>
      <c r="R256" s="635" t="str">
        <f>+'Financial Aid Literacy'!K15</f>
        <v>-</v>
      </c>
      <c r="S256" s="635"/>
    </row>
    <row r="257" spans="1:19">
      <c r="A257">
        <v>248</v>
      </c>
      <c r="B257" s="633" t="str">
        <f>+'Campus Selector'!$G$3</f>
        <v>Canton</v>
      </c>
      <c r="C257" s="634" t="s">
        <v>693</v>
      </c>
      <c r="D257" s="633" t="s">
        <v>573</v>
      </c>
      <c r="H257" s="633" t="e">
        <f>+'Financial Aid Literacy'!#REF!</f>
        <v>#REF!</v>
      </c>
      <c r="I257" s="633" t="e">
        <f>+'Financial Aid Literacy'!#REF!</f>
        <v>#REF!</v>
      </c>
      <c r="J257" s="633" t="e">
        <f>+'Financial Aid Literacy'!#REF!</f>
        <v>#REF!</v>
      </c>
      <c r="K257" s="633" t="e">
        <f>+'Financial Aid Literacy'!#REF!</f>
        <v>#REF!</v>
      </c>
      <c r="L257" s="635" t="e">
        <f>+'Financial Aid Literacy'!#REF!</f>
        <v>#REF!</v>
      </c>
      <c r="M257" s="635"/>
      <c r="N257" s="635"/>
      <c r="O257" s="635"/>
      <c r="P257" s="635" t="e">
        <f>+'Financial Aid Literacy'!#REF!</f>
        <v>#REF!</v>
      </c>
      <c r="Q257" s="635" t="e">
        <f>+'Financial Aid Literacy'!#REF!</f>
        <v>#REF!</v>
      </c>
      <c r="R257" s="635" t="e">
        <f>+'Financial Aid Literacy'!#REF!</f>
        <v>#REF!</v>
      </c>
      <c r="S257" s="635"/>
    </row>
    <row r="258" spans="1:19">
      <c r="A258">
        <v>249</v>
      </c>
      <c r="B258" s="633" t="str">
        <f>+'Campus Selector'!$G$3</f>
        <v>Canton</v>
      </c>
      <c r="C258" s="634" t="s">
        <v>693</v>
      </c>
      <c r="D258" s="633" t="s">
        <v>573</v>
      </c>
      <c r="H258" s="633">
        <f>+'Financial Aid Literacy'!B23</f>
        <v>0</v>
      </c>
      <c r="I258" s="633" t="str">
        <f>+'Financial Aid Literacy'!C23</f>
        <v>16.215.public 4 year</v>
      </c>
      <c r="J258" s="633" t="str">
        <f>+'Financial Aid Literacy'!E23</f>
        <v>Default Rate - 3YR</v>
      </c>
      <c r="K258" s="633" t="str">
        <f>+'Financial Aid Literacy'!K23</f>
        <v>-</v>
      </c>
      <c r="L258" s="635">
        <f>+'Financial Aid Literacy'!H23</f>
        <v>8.8999999999999996E-2</v>
      </c>
      <c r="M258" s="635"/>
      <c r="N258" s="635"/>
      <c r="O258" s="635"/>
      <c r="P258" s="635" t="str">
        <f>+'Financial Aid Literacy'!I23</f>
        <v>-</v>
      </c>
      <c r="Q258" s="635" t="str">
        <f>+'Financial Aid Literacy'!J23</f>
        <v>-</v>
      </c>
      <c r="R258" s="635" t="str">
        <f>+'Financial Aid Literacy'!K23</f>
        <v>-</v>
      </c>
      <c r="S258" s="635"/>
    </row>
    <row r="259" spans="1:19">
      <c r="A259">
        <v>250</v>
      </c>
      <c r="L259" s="635"/>
      <c r="M259" s="635"/>
      <c r="N259" s="635"/>
      <c r="O259" s="635"/>
      <c r="P259" s="635"/>
      <c r="Q259" s="635"/>
      <c r="R259" s="635"/>
      <c r="S259" s="635"/>
    </row>
    <row r="260" spans="1:19">
      <c r="A260">
        <v>251</v>
      </c>
      <c r="B260" s="633" t="str">
        <f>+'Campus Selector'!$G$3</f>
        <v>Canton</v>
      </c>
      <c r="C260" s="634" t="s">
        <v>694</v>
      </c>
      <c r="D260" s="633" t="s">
        <v>190</v>
      </c>
      <c r="E260" s="633">
        <v>1</v>
      </c>
      <c r="F260" s="633">
        <v>154</v>
      </c>
      <c r="G260" s="633" t="b">
        <f t="shared" ref="G260:G274" si="9">+F260=H260</f>
        <v>1</v>
      </c>
      <c r="H260" s="633">
        <f>+'Research Expenditures'!B9</f>
        <v>154</v>
      </c>
      <c r="I260" s="633" t="str">
        <f>+'Research Expenditures'!C9</f>
        <v>12.154.25</v>
      </c>
      <c r="J260" s="633" t="str">
        <f>+'Research Expenditures'!E9</f>
        <v xml:space="preserve">Total Sponsored Activity - SUNYRF ($mil.) </v>
      </c>
      <c r="K260" s="633">
        <f>+'Research Expenditures'!K9</f>
        <v>1.4125999299999998</v>
      </c>
      <c r="L260" s="635">
        <f>+'Research Expenditures'!L9</f>
        <v>-0.20333966054022676</v>
      </c>
      <c r="M260" s="635"/>
      <c r="N260" s="635"/>
      <c r="O260" s="635"/>
      <c r="P260" s="635"/>
      <c r="Q260" s="635">
        <f>+'Research Expenditures'!N9</f>
        <v>1.6</v>
      </c>
      <c r="R260" s="635">
        <f>+'Research Expenditures'!O9</f>
        <v>1.9</v>
      </c>
      <c r="S260" s="635"/>
    </row>
    <row r="261" spans="1:19">
      <c r="A261">
        <v>252</v>
      </c>
      <c r="B261" s="633" t="str">
        <f>+'Campus Selector'!$G$3</f>
        <v>Canton</v>
      </c>
      <c r="C261" s="634" t="s">
        <v>694</v>
      </c>
      <c r="D261" s="633" t="s">
        <v>190</v>
      </c>
      <c r="E261" s="633">
        <v>2</v>
      </c>
      <c r="F261" s="633">
        <v>65</v>
      </c>
      <c r="G261" s="633" t="b">
        <f t="shared" si="9"/>
        <v>1</v>
      </c>
      <c r="H261" s="633">
        <f>+'Research Expenditures'!B10</f>
        <v>65</v>
      </c>
      <c r="I261" s="633" t="str">
        <f>+'Research Expenditures'!C10</f>
        <v>12.065.25</v>
      </c>
      <c r="J261" s="633" t="str">
        <f>+'Research Expenditures'!E10</f>
        <v>Federal</v>
      </c>
      <c r="K261" s="633">
        <f>+'Research Expenditures'!K10</f>
        <v>0.45441063999999998</v>
      </c>
      <c r="L261" s="635">
        <f>+'Research Expenditures'!L10</f>
        <v>-0.24510726668247304</v>
      </c>
      <c r="M261" s="635"/>
      <c r="N261" s="635"/>
      <c r="O261" s="635"/>
      <c r="P261" s="635"/>
      <c r="Q261" s="635">
        <f>+'Research Expenditures'!N10</f>
        <v>0.5</v>
      </c>
      <c r="R261" s="635">
        <f>+'Research Expenditures'!O10</f>
        <v>0.6</v>
      </c>
      <c r="S261" s="635"/>
    </row>
    <row r="262" spans="1:19">
      <c r="A262">
        <v>253</v>
      </c>
      <c r="B262" s="633" t="str">
        <f>+'Campus Selector'!$G$3</f>
        <v>Canton</v>
      </c>
      <c r="C262" s="634" t="s">
        <v>694</v>
      </c>
      <c r="D262" s="633" t="s">
        <v>190</v>
      </c>
      <c r="E262" s="633">
        <v>3</v>
      </c>
      <c r="F262" s="633">
        <v>66</v>
      </c>
      <c r="G262" s="633" t="b">
        <f t="shared" si="9"/>
        <v>1</v>
      </c>
      <c r="H262" s="633">
        <f>+'Research Expenditures'!B11</f>
        <v>66</v>
      </c>
      <c r="I262" s="633" t="str">
        <f>+'Research Expenditures'!C11</f>
        <v>12.066.25</v>
      </c>
      <c r="J262" s="633" t="str">
        <f>+'Research Expenditures'!E11</f>
        <v>Federal Flow Through</v>
      </c>
      <c r="K262" s="633">
        <f>+'Research Expenditures'!K11</f>
        <v>0.17868307</v>
      </c>
      <c r="L262" s="635">
        <f>+'Research Expenditures'!L11</f>
        <v>-0.33227030809022401</v>
      </c>
      <c r="M262" s="635"/>
      <c r="N262" s="635"/>
      <c r="O262" s="635"/>
      <c r="P262" s="635"/>
      <c r="Q262" s="635">
        <f>+'Research Expenditures'!N11</f>
        <v>0.2</v>
      </c>
      <c r="R262" s="635">
        <f>+'Research Expenditures'!O11</f>
        <v>0.25</v>
      </c>
      <c r="S262" s="635"/>
    </row>
    <row r="263" spans="1:19">
      <c r="A263">
        <v>254</v>
      </c>
      <c r="B263" s="633" t="str">
        <f>+'Campus Selector'!$G$3</f>
        <v>Canton</v>
      </c>
      <c r="C263" s="634" t="s">
        <v>694</v>
      </c>
      <c r="D263" s="633" t="s">
        <v>190</v>
      </c>
      <c r="E263" s="633">
        <v>4</v>
      </c>
      <c r="F263" s="633">
        <v>67</v>
      </c>
      <c r="G263" s="633" t="b">
        <f t="shared" si="9"/>
        <v>1</v>
      </c>
      <c r="H263" s="633">
        <f>+'Research Expenditures'!B12</f>
        <v>67</v>
      </c>
      <c r="I263" s="633" t="str">
        <f>+'Research Expenditures'!C12</f>
        <v>12.067.25</v>
      </c>
      <c r="J263" s="633" t="str">
        <f>+'Research Expenditures'!E12</f>
        <v>Nonfederal</v>
      </c>
      <c r="K263" s="633">
        <f>+'Research Expenditures'!K12</f>
        <v>0.77950622000000003</v>
      </c>
      <c r="L263" s="635">
        <f>+'Research Expenditures'!L12</f>
        <v>-0.1373328763170758</v>
      </c>
      <c r="M263" s="635"/>
      <c r="N263" s="635"/>
      <c r="O263" s="635"/>
      <c r="P263" s="635"/>
      <c r="Q263" s="635">
        <f>+'Research Expenditures'!N12</f>
        <v>0.9</v>
      </c>
      <c r="R263" s="635">
        <f>+'Research Expenditures'!O12</f>
        <v>1.05</v>
      </c>
      <c r="S263" s="635"/>
    </row>
    <row r="264" spans="1:19">
      <c r="A264">
        <v>255</v>
      </c>
      <c r="B264" s="633" t="str">
        <f>+'Campus Selector'!$G$3</f>
        <v>Canton</v>
      </c>
      <c r="C264" s="634" t="s">
        <v>694</v>
      </c>
      <c r="D264" s="633" t="s">
        <v>190</v>
      </c>
      <c r="E264" s="633">
        <v>5</v>
      </c>
      <c r="F264" s="633">
        <v>155</v>
      </c>
      <c r="G264" s="633" t="b">
        <f t="shared" si="9"/>
        <v>1</v>
      </c>
      <c r="H264" s="633">
        <f>+'Research Expenditures'!B15</f>
        <v>155</v>
      </c>
      <c r="I264" s="633" t="str">
        <f>+'Research Expenditures'!C15</f>
        <v>12.155.25</v>
      </c>
      <c r="J264" s="633" t="str">
        <f>+'Research Expenditures'!E15</f>
        <v>Total R&amp;D ($mil.)</v>
      </c>
      <c r="K264" s="633" t="str">
        <f>+'Research Expenditures'!K15</f>
        <v>n/a</v>
      </c>
      <c r="L264" s="635" t="str">
        <f>+'Research Expenditures'!L15</f>
        <v>-</v>
      </c>
      <c r="M264" s="635"/>
      <c r="N264" s="635"/>
      <c r="O264" s="635"/>
      <c r="P264" s="635"/>
      <c r="Q264" s="635">
        <f>+'Research Expenditures'!N15</f>
        <v>0.25</v>
      </c>
      <c r="R264" s="635">
        <f>+'Research Expenditures'!O15</f>
        <v>0.3</v>
      </c>
      <c r="S264" s="635"/>
    </row>
    <row r="265" spans="1:19">
      <c r="A265">
        <v>256</v>
      </c>
      <c r="B265" s="633" t="str">
        <f>+'Campus Selector'!$G$3</f>
        <v>Canton</v>
      </c>
      <c r="C265" s="634" t="s">
        <v>694</v>
      </c>
      <c r="D265" s="633" t="s">
        <v>190</v>
      </c>
      <c r="E265" s="633">
        <v>6</v>
      </c>
      <c r="F265" s="633">
        <v>156</v>
      </c>
      <c r="G265" s="633" t="b">
        <f t="shared" si="9"/>
        <v>1</v>
      </c>
      <c r="H265" s="633">
        <f>+'Research Expenditures'!B16</f>
        <v>156</v>
      </c>
      <c r="I265" s="633" t="str">
        <f>+'Research Expenditures'!C16</f>
        <v>12.156.25</v>
      </c>
      <c r="J265" s="633" t="str">
        <f>+'Research Expenditures'!E16</f>
        <v xml:space="preserve">Federal R&amp;D </v>
      </c>
      <c r="K265" s="633" t="str">
        <f>+'Research Expenditures'!K16</f>
        <v>-</v>
      </c>
      <c r="L265" s="635" t="str">
        <f>+'Research Expenditures'!L16</f>
        <v>-</v>
      </c>
      <c r="M265" s="635"/>
      <c r="N265" s="635"/>
      <c r="O265" s="635"/>
      <c r="P265" s="635"/>
      <c r="Q265" s="635">
        <f>+'Research Expenditures'!N16</f>
        <v>0</v>
      </c>
      <c r="R265" s="635">
        <f>+'Research Expenditures'!O16</f>
        <v>0</v>
      </c>
      <c r="S265" s="635"/>
    </row>
    <row r="266" spans="1:19">
      <c r="A266">
        <v>257</v>
      </c>
      <c r="B266" s="633" t="str">
        <f>+'Campus Selector'!$G$3</f>
        <v>Canton</v>
      </c>
      <c r="C266" s="634" t="s">
        <v>694</v>
      </c>
      <c r="D266" s="633" t="s">
        <v>190</v>
      </c>
      <c r="E266" s="633">
        <v>7</v>
      </c>
      <c r="F266" s="633">
        <v>157</v>
      </c>
      <c r="G266" s="633" t="b">
        <f t="shared" si="9"/>
        <v>1</v>
      </c>
      <c r="H266" s="633">
        <f>+'Research Expenditures'!B17</f>
        <v>157</v>
      </c>
      <c r="I266" s="633" t="str">
        <f>+'Research Expenditures'!C17</f>
        <v>12.157.25</v>
      </c>
      <c r="J266" s="633" t="str">
        <f>+'Research Expenditures'!E17</f>
        <v>Industry R&amp;D</v>
      </c>
      <c r="K266" s="633" t="str">
        <f>+'Research Expenditures'!K17</f>
        <v>-</v>
      </c>
      <c r="L266" s="635" t="str">
        <f>+'Research Expenditures'!L17</f>
        <v>-</v>
      </c>
      <c r="M266" s="635"/>
      <c r="N266" s="635"/>
      <c r="O266" s="635"/>
      <c r="P266" s="635"/>
      <c r="Q266" s="635">
        <f>+'Research Expenditures'!N17</f>
        <v>0</v>
      </c>
      <c r="R266" s="635">
        <f>+'Research Expenditures'!O17</f>
        <v>0</v>
      </c>
      <c r="S266" s="635"/>
    </row>
    <row r="267" spans="1:19">
      <c r="A267">
        <v>258</v>
      </c>
      <c r="B267" s="633" t="str">
        <f>+'Campus Selector'!$G$3</f>
        <v>Canton</v>
      </c>
      <c r="C267" s="634" t="s">
        <v>694</v>
      </c>
      <c r="D267" s="633" t="s">
        <v>190</v>
      </c>
      <c r="E267" s="633">
        <v>8</v>
      </c>
      <c r="F267" s="633">
        <v>158</v>
      </c>
      <c r="G267" s="633" t="b">
        <f t="shared" si="9"/>
        <v>1</v>
      </c>
      <c r="H267" s="633">
        <f>+'Research Expenditures'!B18</f>
        <v>158</v>
      </c>
      <c r="I267" s="633" t="str">
        <f>+'Research Expenditures'!C18</f>
        <v>12.158.25</v>
      </c>
      <c r="J267" s="633" t="str">
        <f>+'Research Expenditures'!E18</f>
        <v>State/Local Govt. R&amp;D</v>
      </c>
      <c r="K267" s="633" t="str">
        <f>+'Research Expenditures'!K18</f>
        <v>-</v>
      </c>
      <c r="L267" s="635" t="str">
        <f>+'Research Expenditures'!L18</f>
        <v>-</v>
      </c>
      <c r="M267" s="635"/>
      <c r="N267" s="635"/>
      <c r="O267" s="635"/>
      <c r="P267" s="635"/>
      <c r="Q267" s="635">
        <f>+'Research Expenditures'!N18</f>
        <v>0</v>
      </c>
      <c r="R267" s="635">
        <f>+'Research Expenditures'!O18</f>
        <v>0</v>
      </c>
      <c r="S267" s="635"/>
    </row>
    <row r="268" spans="1:19">
      <c r="A268">
        <v>259</v>
      </c>
      <c r="B268" s="633" t="str">
        <f>+'Campus Selector'!$G$3</f>
        <v>Canton</v>
      </c>
      <c r="C268" s="634" t="s">
        <v>694</v>
      </c>
      <c r="D268" s="633" t="s">
        <v>190</v>
      </c>
      <c r="E268" s="633">
        <v>9</v>
      </c>
      <c r="F268" s="633">
        <v>305</v>
      </c>
      <c r="G268" s="633" t="b">
        <f t="shared" si="9"/>
        <v>1</v>
      </c>
      <c r="H268" s="633">
        <f>+'Research Expenditures'!B19</f>
        <v>305</v>
      </c>
      <c r="I268" s="633" t="str">
        <f>+'Research Expenditures'!C19</f>
        <v>12.305.25</v>
      </c>
      <c r="J268" s="633" t="str">
        <f>+'Research Expenditures'!E19</f>
        <v>Institution R&amp;D</v>
      </c>
      <c r="K268" s="633" t="str">
        <f>+'Research Expenditures'!K19</f>
        <v>-</v>
      </c>
      <c r="L268" s="635" t="str">
        <f>+'Research Expenditures'!L19</f>
        <v>-</v>
      </c>
      <c r="M268" s="635"/>
      <c r="N268" s="635"/>
      <c r="O268" s="635"/>
      <c r="P268" s="635"/>
      <c r="Q268" s="635">
        <f>+'Research Expenditures'!N19</f>
        <v>0</v>
      </c>
      <c r="R268" s="635">
        <f>+'Research Expenditures'!O19</f>
        <v>0</v>
      </c>
      <c r="S268" s="635"/>
    </row>
    <row r="269" spans="1:19">
      <c r="A269">
        <v>260</v>
      </c>
      <c r="B269" s="633" t="str">
        <f>+'Campus Selector'!$G$3</f>
        <v>Canton</v>
      </c>
      <c r="C269" s="634" t="s">
        <v>694</v>
      </c>
      <c r="D269" s="633" t="s">
        <v>190</v>
      </c>
      <c r="E269" s="633">
        <v>10</v>
      </c>
      <c r="F269" s="633">
        <v>306</v>
      </c>
      <c r="G269" s="633" t="b">
        <f t="shared" si="9"/>
        <v>1</v>
      </c>
      <c r="H269" s="633">
        <f>+'Research Expenditures'!B20</f>
        <v>306</v>
      </c>
      <c r="I269" s="633" t="str">
        <f>+'Research Expenditures'!C20</f>
        <v>12.306.25</v>
      </c>
      <c r="J269" s="633" t="str">
        <f>+'Research Expenditures'!E20</f>
        <v>Nonprofit R&amp;D</v>
      </c>
      <c r="K269" s="633" t="str">
        <f>+'Research Expenditures'!K20</f>
        <v>-</v>
      </c>
      <c r="L269" s="635" t="str">
        <f>+'Research Expenditures'!L20</f>
        <v>-</v>
      </c>
      <c r="M269" s="635"/>
      <c r="N269" s="635"/>
      <c r="O269" s="635"/>
      <c r="P269" s="635"/>
      <c r="Q269" s="635">
        <f>+'Research Expenditures'!N20</f>
        <v>0</v>
      </c>
      <c r="R269" s="635">
        <f>+'Research Expenditures'!O20</f>
        <v>0</v>
      </c>
      <c r="S269" s="635"/>
    </row>
    <row r="270" spans="1:19">
      <c r="A270">
        <v>261</v>
      </c>
      <c r="B270" s="633" t="str">
        <f>+'Campus Selector'!$G$3</f>
        <v>Canton</v>
      </c>
      <c r="C270" s="634" t="s">
        <v>694</v>
      </c>
      <c r="D270" s="633" t="s">
        <v>190</v>
      </c>
      <c r="E270" s="633">
        <v>11</v>
      </c>
      <c r="F270" s="633">
        <v>307</v>
      </c>
      <c r="G270" s="633" t="b">
        <f t="shared" si="9"/>
        <v>1</v>
      </c>
      <c r="H270" s="633">
        <f>+'Research Expenditures'!B21</f>
        <v>307</v>
      </c>
      <c r="I270" s="633" t="str">
        <f>+'Research Expenditures'!C21</f>
        <v>12.307.25</v>
      </c>
      <c r="J270" s="633" t="str">
        <f>+'Research Expenditures'!E21</f>
        <v>All Other R&amp;D</v>
      </c>
      <c r="K270" s="633" t="str">
        <f>+'Research Expenditures'!K21</f>
        <v>-</v>
      </c>
      <c r="L270" s="635" t="str">
        <f>+'Research Expenditures'!L21</f>
        <v>-</v>
      </c>
      <c r="M270" s="635"/>
      <c r="N270" s="635"/>
      <c r="O270" s="635"/>
      <c r="P270" s="635"/>
      <c r="Q270" s="635">
        <f>+'Research Expenditures'!N21</f>
        <v>0</v>
      </c>
      <c r="R270" s="635">
        <f>+'Research Expenditures'!O21</f>
        <v>0</v>
      </c>
      <c r="S270" s="635"/>
    </row>
    <row r="271" spans="1:19">
      <c r="A271">
        <v>262</v>
      </c>
      <c r="B271" s="633" t="str">
        <f>+'Campus Selector'!$G$3</f>
        <v>Canton</v>
      </c>
      <c r="C271" s="634" t="s">
        <v>694</v>
      </c>
      <c r="D271" s="633" t="s">
        <v>190</v>
      </c>
      <c r="E271" s="633">
        <v>12</v>
      </c>
      <c r="F271" s="633">
        <v>153</v>
      </c>
      <c r="G271" s="633" t="b">
        <f t="shared" si="9"/>
        <v>1</v>
      </c>
      <c r="H271" s="633">
        <f>+'Research Expenditures'!B24</f>
        <v>153</v>
      </c>
      <c r="I271" s="633" t="str">
        <f>+'Research Expenditures'!C24</f>
        <v>12.153.25</v>
      </c>
      <c r="J271" s="633" t="str">
        <f>+'Research Expenditures'!E24</f>
        <v>Invention Disclosures</v>
      </c>
      <c r="K271" s="657">
        <f>+'Research Expenditures'!K24</f>
        <v>0</v>
      </c>
      <c r="L271" s="635" t="str">
        <f>+'Research Expenditures'!L24</f>
        <v>-</v>
      </c>
      <c r="M271" s="635"/>
      <c r="N271" s="635"/>
      <c r="O271" s="635"/>
      <c r="P271" s="635"/>
      <c r="Q271" s="635">
        <f>+'Research Expenditures'!N24</f>
        <v>0</v>
      </c>
      <c r="R271" s="635">
        <f>+'Research Expenditures'!O24</f>
        <v>0</v>
      </c>
      <c r="S271" s="635"/>
    </row>
    <row r="272" spans="1:19">
      <c r="A272">
        <v>263</v>
      </c>
      <c r="B272" s="633" t="str">
        <f>+'Campus Selector'!$G$3</f>
        <v>Canton</v>
      </c>
      <c r="C272" s="634" t="s">
        <v>694</v>
      </c>
      <c r="D272" s="633" t="s">
        <v>190</v>
      </c>
      <c r="E272" s="633">
        <v>13</v>
      </c>
      <c r="F272" s="633">
        <v>159</v>
      </c>
      <c r="G272" s="633" t="b">
        <f t="shared" si="9"/>
        <v>1</v>
      </c>
      <c r="H272" s="633">
        <f>+'Research Expenditures'!B25</f>
        <v>159</v>
      </c>
      <c r="I272" s="633" t="str">
        <f>+'Research Expenditures'!C25</f>
        <v>12.159.25</v>
      </c>
      <c r="J272" s="633" t="str">
        <f>+'Research Expenditures'!E25</f>
        <v>U.S. Patent Applications Filed</v>
      </c>
      <c r="K272" s="657">
        <f>+'Research Expenditures'!K25</f>
        <v>0</v>
      </c>
      <c r="L272" s="635" t="str">
        <f>+'Research Expenditures'!L25</f>
        <v>-</v>
      </c>
      <c r="M272" s="635"/>
      <c r="N272" s="635"/>
      <c r="O272" s="635"/>
      <c r="P272" s="635"/>
      <c r="Q272" s="635">
        <f>+'Research Expenditures'!N25</f>
        <v>1</v>
      </c>
      <c r="R272" s="635">
        <f>+'Research Expenditures'!O25</f>
        <v>2</v>
      </c>
      <c r="S272" s="635"/>
    </row>
    <row r="273" spans="1:19">
      <c r="A273">
        <v>264</v>
      </c>
      <c r="B273" s="633" t="str">
        <f>+'Campus Selector'!$G$3</f>
        <v>Canton</v>
      </c>
      <c r="C273" s="634" t="s">
        <v>694</v>
      </c>
      <c r="D273" s="633" t="s">
        <v>190</v>
      </c>
      <c r="E273" s="633">
        <v>14</v>
      </c>
      <c r="F273" s="633">
        <v>160</v>
      </c>
      <c r="G273" s="633" t="b">
        <f t="shared" si="9"/>
        <v>1</v>
      </c>
      <c r="H273" s="633">
        <f>+'Research Expenditures'!B26</f>
        <v>160</v>
      </c>
      <c r="I273" s="633" t="str">
        <f>+'Research Expenditures'!C26</f>
        <v>12.160.25</v>
      </c>
      <c r="J273" s="633" t="str">
        <f>+'Research Expenditures'!E26</f>
        <v>U.S. Patents Issued</v>
      </c>
      <c r="K273" s="657">
        <f>+'Research Expenditures'!K26</f>
        <v>0</v>
      </c>
      <c r="L273" s="635" t="str">
        <f>+'Research Expenditures'!L26</f>
        <v>-</v>
      </c>
      <c r="M273" s="635"/>
      <c r="N273" s="635"/>
      <c r="O273" s="635"/>
      <c r="P273" s="635"/>
      <c r="Q273" s="635">
        <f>+'Research Expenditures'!N26</f>
        <v>1</v>
      </c>
      <c r="R273" s="635">
        <f>+'Research Expenditures'!O26</f>
        <v>2</v>
      </c>
      <c r="S273" s="635"/>
    </row>
    <row r="274" spans="1:19">
      <c r="A274">
        <v>265</v>
      </c>
      <c r="B274" s="633" t="str">
        <f>+'Campus Selector'!$G$3</f>
        <v>Canton</v>
      </c>
      <c r="C274" s="634" t="s">
        <v>694</v>
      </c>
      <c r="D274" s="633" t="s">
        <v>190</v>
      </c>
      <c r="E274" s="633">
        <v>15</v>
      </c>
      <c r="F274" s="633">
        <v>208</v>
      </c>
      <c r="G274" s="633" t="b">
        <f t="shared" si="9"/>
        <v>1</v>
      </c>
      <c r="H274" s="633">
        <f>+'Research Expenditures'!B27</f>
        <v>208</v>
      </c>
      <c r="I274" s="633" t="str">
        <f>+'Research Expenditures'!C27</f>
        <v>12.208.25</v>
      </c>
      <c r="J274" s="633" t="str">
        <f>+'Research Expenditures'!E27</f>
        <v>License and Option Agreements Executed</v>
      </c>
      <c r="K274" s="657">
        <f>+'Research Expenditures'!K27</f>
        <v>0</v>
      </c>
      <c r="L274" s="635" t="str">
        <f>+'Research Expenditures'!L27</f>
        <v>-</v>
      </c>
      <c r="M274" s="635"/>
      <c r="N274" s="635"/>
      <c r="O274" s="635"/>
      <c r="P274" s="635"/>
      <c r="Q274" s="635">
        <f>+'Research Expenditures'!N27</f>
        <v>0</v>
      </c>
      <c r="R274" s="635">
        <f>+'Research Expenditures'!O27</f>
        <v>0</v>
      </c>
      <c r="S274" s="635"/>
    </row>
    <row r="275" spans="1:19">
      <c r="A275">
        <v>266</v>
      </c>
      <c r="L275" s="635"/>
      <c r="M275" s="635"/>
      <c r="N275" s="635"/>
      <c r="O275" s="635"/>
      <c r="P275" s="635"/>
      <c r="Q275" s="635"/>
      <c r="R275" s="635"/>
      <c r="S275" s="635"/>
    </row>
    <row r="276" spans="1:19">
      <c r="A276">
        <v>267</v>
      </c>
      <c r="B276" s="633" t="str">
        <f>+'Campus Selector'!$G$3</f>
        <v>Canton</v>
      </c>
      <c r="C276" s="634" t="s">
        <v>695</v>
      </c>
      <c r="D276" s="633" t="s">
        <v>574</v>
      </c>
      <c r="E276" s="633">
        <v>1</v>
      </c>
      <c r="F276" s="633">
        <v>232</v>
      </c>
      <c r="H276" s="633">
        <f>+'Alumni Philanthropy'!B9</f>
        <v>232</v>
      </c>
      <c r="I276" s="633" t="str">
        <f>+'Alumni Philanthropy'!C9</f>
        <v>19.232.25</v>
      </c>
      <c r="J276" s="633" t="str">
        <f>+'Alumni Philanthropy'!E9</f>
        <v>Alumni on Record</v>
      </c>
      <c r="K276" s="656">
        <f>+'Alumni Philanthropy'!K9</f>
        <v>38616</v>
      </c>
      <c r="L276" s="635">
        <f>+'Alumni Philanthropy'!K9</f>
        <v>38616</v>
      </c>
      <c r="M276" s="635"/>
      <c r="N276" s="635"/>
      <c r="O276" s="635"/>
      <c r="P276" s="635"/>
      <c r="Q276" s="635" t="str">
        <f>+'Alumni Philanthropy'!M9</f>
        <v>-</v>
      </c>
      <c r="R276" s="635" t="str">
        <f>+'Alumni Philanthropy'!N9</f>
        <v>-</v>
      </c>
      <c r="S276" s="635"/>
    </row>
    <row r="277" spans="1:19">
      <c r="A277">
        <v>268</v>
      </c>
      <c r="B277" s="633" t="str">
        <f>+'Campus Selector'!$G$3</f>
        <v>Canton</v>
      </c>
      <c r="C277" s="634" t="s">
        <v>695</v>
      </c>
      <c r="D277" s="633" t="s">
        <v>574</v>
      </c>
      <c r="E277" s="633">
        <v>2</v>
      </c>
      <c r="F277" s="633">
        <v>229</v>
      </c>
      <c r="H277" s="633">
        <f>+'Alumni Philanthropy'!B10</f>
        <v>229</v>
      </c>
      <c r="I277" s="633" t="str">
        <f>+'Alumni Philanthropy'!C10</f>
        <v>19.229.25</v>
      </c>
      <c r="J277" s="633" t="str">
        <f>+'Alumni Philanthropy'!E10</f>
        <v>Number of Alumni Donors</v>
      </c>
      <c r="K277" s="656">
        <f>+'Alumni Philanthropy'!K10</f>
        <v>1040</v>
      </c>
      <c r="L277" s="635">
        <f>+'Alumni Philanthropy'!K10</f>
        <v>1040</v>
      </c>
      <c r="M277" s="635"/>
      <c r="N277" s="635"/>
      <c r="O277" s="635"/>
      <c r="P277" s="635"/>
      <c r="Q277" s="635" t="str">
        <f>+'Alumni Philanthropy'!M10</f>
        <v>-</v>
      </c>
      <c r="R277" s="635" t="str">
        <f>+'Alumni Philanthropy'!N10</f>
        <v>-</v>
      </c>
      <c r="S277" s="635"/>
    </row>
    <row r="278" spans="1:19">
      <c r="A278">
        <v>269</v>
      </c>
      <c r="B278" s="633" t="str">
        <f>+'Campus Selector'!$G$3</f>
        <v>Canton</v>
      </c>
      <c r="C278" s="634" t="s">
        <v>695</v>
      </c>
      <c r="D278" s="633" t="s">
        <v>574</v>
      </c>
      <c r="E278" s="633">
        <v>3</v>
      </c>
      <c r="F278" s="633">
        <v>231</v>
      </c>
      <c r="H278" s="633">
        <f>+'Alumni Philanthropy'!B12</f>
        <v>231</v>
      </c>
      <c r="I278" s="633" t="str">
        <f>+'Alumni Philanthropy'!C12</f>
        <v>19.231.25</v>
      </c>
      <c r="J278" s="633" t="str">
        <f>+'Alumni Philanthropy'!E12</f>
        <v>Campus Alumni Giving Rate</v>
      </c>
      <c r="K278" s="633">
        <f>+'Alumni Philanthropy'!K12</f>
        <v>2.693184172363787E-2</v>
      </c>
      <c r="L278" s="635">
        <f>+'Alumni Philanthropy'!K12</f>
        <v>2.693184172363787E-2</v>
      </c>
      <c r="M278" s="635"/>
      <c r="N278" s="635"/>
      <c r="O278" s="635"/>
      <c r="P278" s="635"/>
      <c r="Q278" s="635">
        <f>+'Alumni Philanthropy'!M12</f>
        <v>3.3000000000000002E-2</v>
      </c>
      <c r="R278" s="635">
        <f>+'Alumni Philanthropy'!N12</f>
        <v>0.04</v>
      </c>
      <c r="S278" s="635"/>
    </row>
    <row r="279" spans="1:19">
      <c r="A279">
        <v>270</v>
      </c>
      <c r="B279" s="633" t="str">
        <f>+'Campus Selector'!$G$3</f>
        <v>Canton</v>
      </c>
      <c r="C279" s="634" t="s">
        <v>695</v>
      </c>
      <c r="D279" s="633" t="s">
        <v>574</v>
      </c>
      <c r="E279" s="633">
        <v>4</v>
      </c>
      <c r="F279" s="633">
        <v>233</v>
      </c>
      <c r="H279" s="633">
        <f>+'Alumni Philanthropy'!B16</f>
        <v>233</v>
      </c>
      <c r="I279" s="633" t="str">
        <f>+'Alumni Philanthropy'!C16</f>
        <v>19.233.25</v>
      </c>
      <c r="J279" s="633" t="str">
        <f>+'Alumni Philanthropy'!E16</f>
        <v>Funds Raised ($mil.)</v>
      </c>
      <c r="K279" s="633">
        <f>+'Alumni Philanthropy'!K16</f>
        <v>1.0515129999999999</v>
      </c>
      <c r="L279" s="635">
        <f>+'Alumni Philanthropy'!K16</f>
        <v>1.0515129999999999</v>
      </c>
      <c r="M279" s="635"/>
      <c r="N279" s="635"/>
      <c r="O279" s="635"/>
      <c r="P279" s="635"/>
      <c r="Q279" s="635">
        <f>+'Alumni Philanthropy'!M16</f>
        <v>1.3</v>
      </c>
      <c r="R279" s="635">
        <f>+'Alumni Philanthropy'!N16</f>
        <v>1.5</v>
      </c>
      <c r="S279" s="635"/>
    </row>
    <row r="280" spans="1:19">
      <c r="A280">
        <v>271</v>
      </c>
      <c r="B280" s="633" t="str">
        <f>+'Campus Selector'!$G$3</f>
        <v>Canton</v>
      </c>
      <c r="C280" s="634" t="s">
        <v>695</v>
      </c>
      <c r="D280" s="633" t="s">
        <v>574</v>
      </c>
      <c r="E280" s="633">
        <v>5</v>
      </c>
      <c r="F280" s="633">
        <v>230</v>
      </c>
      <c r="H280" s="633" t="e">
        <f>+'Alumni Philanthropy'!#REF!</f>
        <v>#REF!</v>
      </c>
      <c r="I280" s="633" t="e">
        <f>+'Alumni Philanthropy'!#REF!</f>
        <v>#REF!</v>
      </c>
      <c r="J280" s="633" t="e">
        <f>+'Alumni Philanthropy'!#REF!</f>
        <v>#REF!</v>
      </c>
      <c r="K280" s="660" t="e">
        <f>+'Alumni Philanthropy'!#REF!</f>
        <v>#REF!</v>
      </c>
      <c r="L280" s="635" t="e">
        <f>+'Alumni Philanthropy'!#REF!</f>
        <v>#REF!</v>
      </c>
      <c r="M280" s="635"/>
      <c r="N280" s="635"/>
      <c r="O280" s="635"/>
      <c r="P280" s="635"/>
      <c r="Q280" s="635" t="e">
        <f>+'Alumni Philanthropy'!#REF!</f>
        <v>#REF!</v>
      </c>
      <c r="R280" s="635" t="e">
        <f>+'Alumni Philanthropy'!#REF!</f>
        <v>#REF!</v>
      </c>
      <c r="S280" s="635"/>
    </row>
    <row r="281" spans="1:19">
      <c r="A281">
        <v>272</v>
      </c>
      <c r="B281" s="633" t="str">
        <f>+'Campus Selector'!$G$3</f>
        <v>Canton</v>
      </c>
      <c r="C281" s="634" t="s">
        <v>695</v>
      </c>
      <c r="D281" s="633" t="s">
        <v>574</v>
      </c>
      <c r="H281" s="633">
        <f>+'Alumni Philanthropy'!B13</f>
        <v>231</v>
      </c>
      <c r="I281" s="633" t="str">
        <f>+'Alumni Philanthropy'!C13</f>
        <v>19.231.90</v>
      </c>
      <c r="J281" s="633" t="str">
        <f>+'Alumni Philanthropy'!E13</f>
        <v>Sector Alumni Giving Rate</v>
      </c>
      <c r="K281" s="633">
        <f>+'Alumni Philanthropy'!K13</f>
        <v>2.7262225112237911E-2</v>
      </c>
      <c r="L281" s="635">
        <f>+'Alumni Philanthropy'!K13</f>
        <v>2.7262225112237911E-2</v>
      </c>
      <c r="M281" s="635"/>
      <c r="N281" s="635"/>
      <c r="O281" s="635"/>
      <c r="P281" s="635"/>
      <c r="Q281" s="635" t="str">
        <f>+'Alumni Philanthropy'!M13</f>
        <v>-</v>
      </c>
      <c r="R281" s="635" t="str">
        <f>+'Alumni Philanthropy'!N13</f>
        <v>-</v>
      </c>
      <c r="S281" s="635"/>
    </row>
    <row r="282" spans="1:19">
      <c r="A282">
        <v>273</v>
      </c>
      <c r="L282" s="635"/>
      <c r="M282" s="635"/>
      <c r="N282" s="635"/>
      <c r="O282" s="635"/>
      <c r="P282" s="635"/>
      <c r="Q282" s="635"/>
      <c r="R282" s="635"/>
      <c r="S282" s="635"/>
    </row>
    <row r="283" spans="1:19">
      <c r="A283">
        <v>276</v>
      </c>
      <c r="B283" s="633" t="str">
        <f>+'Campus Selector'!$G$3</f>
        <v>Canton</v>
      </c>
      <c r="C283" s="634" t="s">
        <v>696</v>
      </c>
      <c r="D283" s="633" t="s">
        <v>650</v>
      </c>
      <c r="E283" s="633">
        <v>1</v>
      </c>
      <c r="F283" s="633">
        <v>39</v>
      </c>
      <c r="H283" s="633" t="e">
        <f>+#REF!</f>
        <v>#REF!</v>
      </c>
      <c r="I283" s="633" t="e">
        <f>+#REF!</f>
        <v>#REF!</v>
      </c>
      <c r="J283" s="633" t="e">
        <f>+#REF!</f>
        <v>#REF!</v>
      </c>
      <c r="K283" s="656" t="e">
        <f>+#REF!</f>
        <v>#REF!</v>
      </c>
      <c r="L283" s="635" t="e">
        <f>+#REF!</f>
        <v>#REF!</v>
      </c>
      <c r="M283" s="635"/>
      <c r="N283" s="635"/>
      <c r="O283" s="635"/>
      <c r="P283" s="635"/>
      <c r="Q283" s="635" t="e">
        <f>+#REF!</f>
        <v>#REF!</v>
      </c>
      <c r="R283" s="635" t="e">
        <f>+#REF!</f>
        <v>#REF!</v>
      </c>
      <c r="S283" s="635"/>
    </row>
    <row r="284" spans="1:19">
      <c r="A284">
        <v>278</v>
      </c>
      <c r="B284" s="633" t="str">
        <f>+'Campus Selector'!$G$3</f>
        <v>Canton</v>
      </c>
      <c r="C284" s="634" t="s">
        <v>696</v>
      </c>
      <c r="D284" s="633" t="s">
        <v>650</v>
      </c>
      <c r="E284" s="633">
        <v>2</v>
      </c>
      <c r="F284" s="633">
        <v>40</v>
      </c>
      <c r="H284" s="633" t="e">
        <f>+#REF!</f>
        <v>#REF!</v>
      </c>
      <c r="I284" s="633" t="e">
        <f>+#REF!</f>
        <v>#REF!</v>
      </c>
      <c r="J284" s="633" t="e">
        <f>+#REF!</f>
        <v>#REF!</v>
      </c>
      <c r="K284" s="656" t="e">
        <f>+#REF!</f>
        <v>#REF!</v>
      </c>
      <c r="L284" s="635" t="e">
        <f>+#REF!</f>
        <v>#REF!</v>
      </c>
      <c r="M284" s="635"/>
      <c r="N284" s="635"/>
      <c r="O284" s="635"/>
      <c r="P284" s="635"/>
      <c r="Q284" s="635" t="e">
        <f>+#REF!</f>
        <v>#REF!</v>
      </c>
      <c r="R284" s="635" t="e">
        <f>+#REF!</f>
        <v>#REF!</v>
      </c>
      <c r="S284" s="635"/>
    </row>
    <row r="285" spans="1:19">
      <c r="A285">
        <v>274</v>
      </c>
      <c r="B285" s="633" t="str">
        <f>+'Campus Selector'!$G$3</f>
        <v>Canton</v>
      </c>
      <c r="C285" s="634" t="s">
        <v>696</v>
      </c>
      <c r="D285" s="633" t="s">
        <v>650</v>
      </c>
      <c r="H285" s="633" t="e">
        <f>+#REF!</f>
        <v>#REF!</v>
      </c>
      <c r="I285" s="633" t="e">
        <f>+#REF!</f>
        <v>#REF!</v>
      </c>
      <c r="J285" s="633" t="e">
        <f>+#REF!</f>
        <v>#REF!</v>
      </c>
      <c r="K285" s="656" t="e">
        <f>+#REF!</f>
        <v>#REF!</v>
      </c>
      <c r="L285" s="635" t="e">
        <f>+#REF!</f>
        <v>#REF!</v>
      </c>
      <c r="M285" s="635"/>
      <c r="N285" s="635"/>
      <c r="O285" s="635"/>
      <c r="P285" s="635"/>
      <c r="Q285" s="635" t="e">
        <f>+#REF!</f>
        <v>#REF!</v>
      </c>
      <c r="R285" s="635" t="e">
        <f>+#REF!</f>
        <v>#REF!</v>
      </c>
      <c r="S285" s="635"/>
    </row>
    <row r="286" spans="1:19">
      <c r="A286">
        <v>275</v>
      </c>
      <c r="B286" s="633" t="str">
        <f>+'Campus Selector'!$G$3</f>
        <v>Canton</v>
      </c>
      <c r="C286" s="634" t="s">
        <v>696</v>
      </c>
      <c r="D286" s="633" t="s">
        <v>650</v>
      </c>
      <c r="H286" s="633" t="e">
        <f>+#REF!</f>
        <v>#REF!</v>
      </c>
      <c r="I286" s="633" t="e">
        <f>+#REF!</f>
        <v>#REF!</v>
      </c>
      <c r="J286" s="633" t="e">
        <f>+#REF!</f>
        <v>#REF!</v>
      </c>
      <c r="K286" s="656" t="e">
        <f>+#REF!</f>
        <v>#REF!</v>
      </c>
      <c r="L286" s="635" t="e">
        <f>+#REF!</f>
        <v>#REF!</v>
      </c>
      <c r="M286" s="635"/>
      <c r="N286" s="635"/>
      <c r="O286" s="635"/>
      <c r="P286" s="635"/>
      <c r="Q286" s="635" t="e">
        <f>+#REF!</f>
        <v>#REF!</v>
      </c>
      <c r="R286" s="635" t="e">
        <f>+#REF!</f>
        <v>#REF!</v>
      </c>
      <c r="S286" s="635"/>
    </row>
    <row r="287" spans="1:19">
      <c r="A287">
        <v>277</v>
      </c>
      <c r="B287" s="633" t="str">
        <f>+'Campus Selector'!$G$3</f>
        <v>Canton</v>
      </c>
      <c r="C287" s="634" t="s">
        <v>696</v>
      </c>
      <c r="D287" s="633" t="s">
        <v>650</v>
      </c>
      <c r="H287" s="633" t="e">
        <f>+#REF!</f>
        <v>#REF!</v>
      </c>
      <c r="I287" s="633" t="e">
        <f>+#REF!</f>
        <v>#REF!</v>
      </c>
      <c r="J287" s="633" t="e">
        <f>+#REF!</f>
        <v>#REF!</v>
      </c>
      <c r="K287" s="656" t="e">
        <f>+#REF!</f>
        <v>#REF!</v>
      </c>
      <c r="L287" s="635" t="e">
        <f>+#REF!</f>
        <v>#REF!</v>
      </c>
      <c r="M287" s="635"/>
      <c r="N287" s="635"/>
      <c r="O287" s="635"/>
      <c r="P287" s="635"/>
      <c r="Q287" s="635" t="e">
        <f>+#REF!</f>
        <v>#REF!</v>
      </c>
      <c r="R287" s="635" t="e">
        <f>+#REF!</f>
        <v>#REF!</v>
      </c>
      <c r="S287" s="635"/>
    </row>
    <row r="288" spans="1:19">
      <c r="A288">
        <v>279</v>
      </c>
      <c r="B288" s="633" t="str">
        <f>+'Campus Selector'!$G$3</f>
        <v>Canton</v>
      </c>
      <c r="C288" s="634" t="s">
        <v>696</v>
      </c>
      <c r="D288" s="633" t="s">
        <v>650</v>
      </c>
      <c r="H288" s="633" t="e">
        <f>+#REF!</f>
        <v>#REF!</v>
      </c>
      <c r="I288" s="633" t="e">
        <f>+#REF!</f>
        <v>#REF!</v>
      </c>
      <c r="J288" s="633" t="e">
        <f>+#REF!</f>
        <v>#REF!</v>
      </c>
      <c r="K288" s="656" t="e">
        <f>+#REF!</f>
        <v>#REF!</v>
      </c>
      <c r="L288" s="635" t="e">
        <f>+#REF!</f>
        <v>#REF!</v>
      </c>
      <c r="M288" s="635"/>
      <c r="N288" s="635"/>
      <c r="O288" s="635"/>
      <c r="P288" s="635"/>
      <c r="Q288" s="635" t="e">
        <f>+#REF!</f>
        <v>#REF!</v>
      </c>
      <c r="R288" s="635" t="e">
        <f>+#REF!</f>
        <v>#REF!</v>
      </c>
      <c r="S288" s="635"/>
    </row>
  </sheetData>
  <sortState ref="B276:U281">
    <sortCondition ref="E276:E281"/>
  </sortState>
  <printOptions horizontalCentered="1"/>
  <pageMargins left="0.2" right="0.2" top="0.5" bottom="0.5" header="0.3" footer="0.3"/>
  <pageSetup orientation="landscape" horizontalDpi="1200" verticalDpi="1200" r:id="rId1"/>
  <headerFooter alignWithMargins="0">
    <oddFooter>&amp;LState University of New York System Administration&amp;R&amp;G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V70"/>
  <sheetViews>
    <sheetView showGridLines="0" topLeftCell="D1" zoomScaleNormal="100" workbookViewId="0">
      <selection activeCell="G11" sqref="G11"/>
    </sheetView>
  </sheetViews>
  <sheetFormatPr defaultRowHeight="12.75"/>
  <cols>
    <col min="1" max="1" width="14.42578125" style="37" hidden="1" customWidth="1"/>
    <col min="2" max="3" width="5.140625" style="37" hidden="1" customWidth="1"/>
    <col min="4" max="4" width="3.42578125" customWidth="1"/>
    <col min="5" max="5" width="5.5703125" style="2" customWidth="1"/>
    <col min="6" max="6" width="28.42578125" style="2" customWidth="1"/>
    <col min="7" max="7" width="74.42578125" style="2" customWidth="1"/>
    <col min="8" max="8" width="28.28515625" customWidth="1"/>
    <col min="9" max="18" width="9.140625" customWidth="1"/>
  </cols>
  <sheetData>
    <row r="2" spans="1:22" ht="85.5" customHeight="1"/>
    <row r="3" spans="1:22" ht="18">
      <c r="E3" s="29" t="s">
        <v>699</v>
      </c>
    </row>
    <row r="4" spans="1:22" ht="18">
      <c r="E4" s="29" t="s">
        <v>651</v>
      </c>
    </row>
    <row r="5" spans="1:22" ht="18">
      <c r="E5" s="29"/>
      <c r="R5" s="807"/>
      <c r="S5" s="807"/>
      <c r="T5" s="807"/>
      <c r="U5" s="807"/>
      <c r="V5" s="807"/>
    </row>
    <row r="6" spans="1:22" ht="18" customHeight="1">
      <c r="E6" s="808" t="s">
        <v>713</v>
      </c>
      <c r="F6" s="808"/>
      <c r="G6" s="808"/>
      <c r="H6" s="808"/>
      <c r="R6" s="679"/>
      <c r="S6" s="679"/>
      <c r="T6" s="679"/>
      <c r="U6" s="679"/>
      <c r="V6" s="679"/>
    </row>
    <row r="7" spans="1:22" ht="18" customHeight="1">
      <c r="E7" s="808"/>
      <c r="F7" s="808"/>
      <c r="G7" s="808"/>
      <c r="H7" s="808"/>
      <c r="R7" s="679"/>
      <c r="S7" s="679"/>
      <c r="T7" s="679"/>
      <c r="U7" s="679"/>
      <c r="V7" s="679"/>
    </row>
    <row r="8" spans="1:22" ht="18" customHeight="1">
      <c r="E8" s="808"/>
      <c r="F8" s="808"/>
      <c r="G8" s="808"/>
      <c r="H8" s="808"/>
      <c r="R8" s="679"/>
      <c r="S8" s="679"/>
      <c r="T8" s="679"/>
      <c r="U8" s="679"/>
      <c r="V8" s="679"/>
    </row>
    <row r="9" spans="1:22" ht="18" customHeight="1">
      <c r="E9" s="681"/>
      <c r="F9" s="681"/>
      <c r="G9" s="681"/>
      <c r="H9" s="681"/>
      <c r="R9" s="679"/>
      <c r="S9" s="679"/>
      <c r="T9" s="679"/>
      <c r="U9" s="679"/>
      <c r="V9" s="679"/>
    </row>
    <row r="10" spans="1:22" s="23" customFormat="1" ht="33.75">
      <c r="A10" s="38"/>
      <c r="B10" s="40" t="str">
        <f>+'Campus Selector'!B13</f>
        <v>IR table no</v>
      </c>
      <c r="C10" s="40">
        <f>+'Campus Selector'!C13</f>
        <v>0</v>
      </c>
      <c r="E10" s="29" t="s">
        <v>244</v>
      </c>
      <c r="F10" s="33"/>
      <c r="G10" s="806" t="str">
        <f>+'Campus Selector'!G3</f>
        <v>Canton</v>
      </c>
      <c r="H10" s="806"/>
    </row>
    <row r="11" spans="1:22" ht="27" customHeight="1">
      <c r="B11" s="39"/>
      <c r="C11" s="39"/>
      <c r="E11" s="27" t="s">
        <v>237</v>
      </c>
      <c r="F11" s="28"/>
      <c r="G11" s="28"/>
      <c r="H11" s="499"/>
    </row>
    <row r="12" spans="1:22" ht="27" customHeight="1">
      <c r="B12" s="39">
        <f>+'Campus Selector'!B17</f>
        <v>4</v>
      </c>
      <c r="C12" s="39">
        <f>+'Campus Selector'!C17</f>
        <v>0</v>
      </c>
      <c r="E12" s="392">
        <v>1</v>
      </c>
      <c r="F12" s="41" t="s">
        <v>251</v>
      </c>
      <c r="G12" s="8" t="str">
        <f ca="1">+INDIRECT("'" &amp; F12 &amp; "'!E5")</f>
        <v>Trends in Fall Student Enrollment and AAFTE</v>
      </c>
      <c r="H12" s="499"/>
    </row>
    <row r="13" spans="1:22" ht="27" customHeight="1">
      <c r="B13" s="39">
        <f>+'Campus Selector'!B18</f>
        <v>13</v>
      </c>
      <c r="C13" s="39"/>
      <c r="E13" s="392">
        <f t="shared" ref="E13:E18" si="0">+E12+1</f>
        <v>2</v>
      </c>
      <c r="F13" s="41" t="s">
        <v>245</v>
      </c>
      <c r="G13" s="8" t="str">
        <f ca="1">+INDIRECT("'" &amp; F13 &amp; "'!E5")</f>
        <v>Trends in Student Enrollment Beyond Fall Census</v>
      </c>
      <c r="H13" s="500"/>
    </row>
    <row r="14" spans="1:22" ht="27" customHeight="1">
      <c r="B14" s="39">
        <f>+'Campus Selector'!B19</f>
        <v>6</v>
      </c>
      <c r="C14" s="39"/>
      <c r="E14" s="392">
        <f t="shared" si="0"/>
        <v>3</v>
      </c>
      <c r="F14" s="41" t="s">
        <v>246</v>
      </c>
      <c r="G14" s="805" t="str">
        <f ca="1">+INDIRECT("'" &amp; F14 &amp; "'!E5")</f>
        <v>Trends in First-Time Undergraduate Applicants, Acceptances, and Enrollment Yield with Selectivity Data</v>
      </c>
      <c r="H14" s="805"/>
    </row>
    <row r="15" spans="1:22" ht="27" customHeight="1">
      <c r="B15" s="39">
        <f>+'Campus Selector'!B20</f>
        <v>7</v>
      </c>
      <c r="C15" s="39"/>
      <c r="E15" s="392">
        <f t="shared" si="0"/>
        <v>4</v>
      </c>
      <c r="F15" s="41" t="s">
        <v>249</v>
      </c>
      <c r="G15" s="8" t="str">
        <f ca="1">+INDIRECT("'" &amp; F15 &amp; "'!E5")</f>
        <v>Trends in Geographic Diversity of Students</v>
      </c>
      <c r="H15" s="499"/>
    </row>
    <row r="16" spans="1:22" ht="27" customHeight="1">
      <c r="B16" s="39">
        <f>+'Campus Selector'!B21</f>
        <v>8</v>
      </c>
      <c r="C16" s="39"/>
      <c r="E16" s="392">
        <f t="shared" si="0"/>
        <v>5</v>
      </c>
      <c r="F16" s="41" t="s">
        <v>269</v>
      </c>
      <c r="G16" s="8" t="str">
        <f ca="1">+INDIRECT("'" &amp; F16 &amp; "'!e6")</f>
        <v>Trends in Student Diversity - Race/Ethnicity, Gender, and Pell</v>
      </c>
      <c r="H16" s="499"/>
    </row>
    <row r="17" spans="2:8" ht="27" customHeight="1">
      <c r="B17" s="39">
        <f>+'Campus Selector'!B22</f>
        <v>2</v>
      </c>
      <c r="C17" s="39"/>
      <c r="E17" s="392">
        <f t="shared" si="0"/>
        <v>6</v>
      </c>
      <c r="F17" s="501" t="s">
        <v>247</v>
      </c>
      <c r="G17" s="502" t="str">
        <f ca="1">+INDIRECT("'" &amp; F17 &amp; "'!e6")</f>
        <v>Faculty Trends, with Diversity and Student Faculty Ratios</v>
      </c>
      <c r="H17" s="503"/>
    </row>
    <row r="18" spans="2:8" ht="27" customHeight="1">
      <c r="B18" s="39">
        <f>+'Campus Selector'!B23</f>
        <v>3</v>
      </c>
      <c r="C18" s="39"/>
      <c r="E18" s="392">
        <f t="shared" si="0"/>
        <v>7</v>
      </c>
      <c r="F18" s="501" t="s">
        <v>248</v>
      </c>
      <c r="G18" s="502" t="str">
        <f ca="1">+INDIRECT("'" &amp; F18 &amp; "'!E6")</f>
        <v>(Non-instructional) Staff Trends, with Diversity</v>
      </c>
      <c r="H18" s="503"/>
    </row>
    <row r="19" spans="2:8" ht="27" customHeight="1">
      <c r="B19" s="39"/>
      <c r="C19" s="39"/>
      <c r="E19" s="27"/>
      <c r="F19" s="8"/>
      <c r="G19" s="8"/>
      <c r="H19" s="499"/>
    </row>
    <row r="20" spans="2:8" ht="27" customHeight="1">
      <c r="B20" s="39"/>
      <c r="C20" s="39"/>
      <c r="E20" s="27" t="s">
        <v>238</v>
      </c>
      <c r="F20" s="8"/>
      <c r="G20" s="8"/>
      <c r="H20" s="499"/>
    </row>
    <row r="21" spans="2:8" ht="27" customHeight="1">
      <c r="B21" s="39">
        <v>20</v>
      </c>
      <c r="C21" s="39"/>
      <c r="E21" s="393">
        <f>+E18+1</f>
        <v>8</v>
      </c>
      <c r="F21" s="41" t="s">
        <v>290</v>
      </c>
      <c r="G21" s="8" t="str">
        <f ca="1">+INDIRECT("'" &amp; F21 &amp; "'!e7")</f>
        <v>Trends in First Year Retention for First-Time (Full-Time and Part-Time) and Transfer Matriculated Students</v>
      </c>
      <c r="H21" s="499"/>
    </row>
    <row r="22" spans="2:8" ht="27" customHeight="1">
      <c r="B22" s="39">
        <v>9</v>
      </c>
      <c r="C22" s="39"/>
      <c r="E22" s="392">
        <f>+E21+1</f>
        <v>9</v>
      </c>
      <c r="F22" s="41" t="s">
        <v>320</v>
      </c>
      <c r="G22" s="8" t="str">
        <f ca="1">+INDIRECT("'" &amp; F22 &amp; "'!e8")</f>
        <v>Trends in Graduation Rates of First-Time Full-Time Students</v>
      </c>
      <c r="H22" s="499"/>
    </row>
    <row r="23" spans="2:8" ht="27" customHeight="1">
      <c r="B23" s="39">
        <f>+'Campus Selector'!B28</f>
        <v>10</v>
      </c>
      <c r="C23" s="39"/>
      <c r="E23" s="392">
        <f>+E22+1</f>
        <v>10</v>
      </c>
      <c r="F23" s="41" t="s">
        <v>291</v>
      </c>
      <c r="G23" s="8" t="str">
        <f ca="1">+INDIRECT("'" &amp; F23 &amp; "'!e8")</f>
        <v>Trends in Graduation of Full-Time Undergraduate Transfer Students</v>
      </c>
      <c r="H23" s="499"/>
    </row>
    <row r="24" spans="2:8" ht="27" customHeight="1">
      <c r="B24" s="42">
        <f>+'Campus Selector'!B29</f>
        <v>1</v>
      </c>
      <c r="C24" s="42"/>
      <c r="E24" s="392">
        <f>+E23+1</f>
        <v>11</v>
      </c>
      <c r="F24" s="41" t="s">
        <v>571</v>
      </c>
      <c r="G24" s="805" t="s">
        <v>575</v>
      </c>
      <c r="H24" s="805"/>
    </row>
    <row r="25" spans="2:8" ht="27" customHeight="1">
      <c r="B25" s="39">
        <f>+'Campus Selector'!B30</f>
        <v>15</v>
      </c>
      <c r="C25" s="39"/>
      <c r="E25" s="392">
        <f>+E24+1</f>
        <v>12</v>
      </c>
      <c r="F25" s="41" t="s">
        <v>479</v>
      </c>
      <c r="G25" s="8" t="str">
        <f ca="1">+INDIRECT("'" &amp; F25 &amp; "'!e7")</f>
        <v xml:space="preserve">Trends in SUNY Educational Outcomes </v>
      </c>
      <c r="H25" s="499"/>
    </row>
    <row r="26" spans="2:8" ht="27" customHeight="1">
      <c r="B26" s="39">
        <f>+'Campus Selector'!B31</f>
        <v>14</v>
      </c>
      <c r="C26" s="39"/>
      <c r="E26" s="392">
        <f>+E25+1</f>
        <v>13</v>
      </c>
      <c r="F26" s="41" t="s">
        <v>572</v>
      </c>
      <c r="G26" s="8" t="str">
        <f ca="1">+INDIRECT("'" &amp; F26 &amp; "'!E5")</f>
        <v>Trends in Degrees/Awards Granted by Academic Level</v>
      </c>
      <c r="H26" s="499"/>
    </row>
    <row r="27" spans="2:8" ht="27" customHeight="1">
      <c r="B27" s="39"/>
      <c r="C27" s="39"/>
      <c r="E27" s="504"/>
      <c r="F27" s="8"/>
      <c r="G27" s="8"/>
      <c r="H27" s="499"/>
    </row>
    <row r="28" spans="2:8" ht="27" customHeight="1">
      <c r="B28" s="39"/>
      <c r="C28" s="39"/>
      <c r="E28" s="27" t="s">
        <v>239</v>
      </c>
      <c r="F28" s="8"/>
      <c r="G28" s="8"/>
      <c r="H28" s="499"/>
    </row>
    <row r="29" spans="2:8" ht="27" customHeight="1">
      <c r="B29" s="39">
        <v>11</v>
      </c>
      <c r="C29" s="39"/>
      <c r="E29" s="392">
        <f>+E26+1</f>
        <v>14</v>
      </c>
      <c r="F29" s="41" t="s">
        <v>414</v>
      </c>
      <c r="G29" s="8" t="str">
        <f ca="1">+INDIRECT("'" &amp; F29 &amp; "'!E5")</f>
        <v xml:space="preserve">2012 Student Opinion Survey </v>
      </c>
      <c r="H29" s="499"/>
    </row>
    <row r="30" spans="2:8" ht="27" customHeight="1">
      <c r="B30" s="39">
        <v>11</v>
      </c>
      <c r="C30" s="39"/>
      <c r="E30" s="392">
        <f>+E29+1</f>
        <v>15</v>
      </c>
      <c r="F30" s="41" t="s">
        <v>413</v>
      </c>
      <c r="G30" s="8" t="str">
        <f ca="1">+INDIRECT("'" &amp; F30 &amp; "'!E5")</f>
        <v xml:space="preserve">Trends in Specific Student Opinion Survey Items </v>
      </c>
      <c r="H30" s="499"/>
    </row>
    <row r="31" spans="2:8" ht="27" customHeight="1">
      <c r="B31" s="39">
        <f>+'Campus Selector'!B35</f>
        <v>16</v>
      </c>
      <c r="C31" s="39"/>
      <c r="E31" s="392">
        <f>+E30+1</f>
        <v>16</v>
      </c>
      <c r="F31" s="41" t="s">
        <v>573</v>
      </c>
      <c r="G31" s="8" t="str">
        <f ca="1">+INDIRECT("'" &amp; F31 &amp; "'!e7")</f>
        <v>Trends in Student Default Rates and Financial Literacy</v>
      </c>
      <c r="H31" s="499"/>
    </row>
    <row r="32" spans="2:8" ht="27" customHeight="1">
      <c r="B32" s="39"/>
      <c r="C32" s="39"/>
      <c r="E32" s="504"/>
      <c r="F32" s="8"/>
      <c r="G32" s="8"/>
      <c r="H32" s="499"/>
    </row>
    <row r="33" spans="2:8" ht="27" customHeight="1">
      <c r="B33" s="39"/>
      <c r="C33" s="39"/>
      <c r="E33" s="27" t="s">
        <v>240</v>
      </c>
      <c r="F33" s="8"/>
      <c r="G33" s="8"/>
      <c r="H33" s="499"/>
    </row>
    <row r="34" spans="2:8" ht="27" customHeight="1">
      <c r="B34" s="39">
        <f>+'Campus Selector'!B38</f>
        <v>12</v>
      </c>
      <c r="C34" s="39"/>
      <c r="E34" s="392">
        <f>+E31+1</f>
        <v>17</v>
      </c>
      <c r="F34" s="41" t="s">
        <v>190</v>
      </c>
      <c r="G34" s="8" t="str">
        <f ca="1">+INDIRECT("'" &amp; F34 &amp; "'!E5")</f>
        <v>Trends in Research Expenditures, Disclosures, Patents and Licenses</v>
      </c>
      <c r="H34" s="499"/>
    </row>
    <row r="35" spans="2:8" ht="27" customHeight="1">
      <c r="B35" s="39"/>
      <c r="C35" s="39"/>
      <c r="E35" s="504"/>
      <c r="F35" s="8"/>
      <c r="G35" s="8"/>
      <c r="H35" s="499"/>
    </row>
    <row r="36" spans="2:8" ht="27" customHeight="1">
      <c r="B36" s="39"/>
      <c r="C36" s="39"/>
      <c r="E36" s="27" t="s">
        <v>241</v>
      </c>
      <c r="F36" s="8"/>
      <c r="G36" s="8"/>
      <c r="H36" s="499"/>
    </row>
    <row r="37" spans="2:8" ht="27" customHeight="1">
      <c r="B37" s="39">
        <f>+'Campus Selector'!B41</f>
        <v>19</v>
      </c>
      <c r="C37" s="39"/>
      <c r="E37" s="392">
        <f>+E34+1</f>
        <v>18</v>
      </c>
      <c r="F37" s="41" t="s">
        <v>574</v>
      </c>
      <c r="G37" s="8" t="str">
        <f ca="1">+INDIRECT("'" &amp; F37 &amp; "'!E5")</f>
        <v>Trends in Alumni and Philanthropy</v>
      </c>
      <c r="H37" s="499"/>
    </row>
    <row r="38" spans="2:8" ht="23.25" customHeight="1">
      <c r="B38" s="39"/>
      <c r="C38" s="39"/>
      <c r="E38" s="26"/>
    </row>
    <row r="39" spans="2:8" ht="23.25" customHeight="1">
      <c r="B39" s="39"/>
      <c r="C39" s="39"/>
      <c r="E39" s="26"/>
    </row>
    <row r="40" spans="2:8" ht="23.25" customHeight="1">
      <c r="B40" s="39"/>
      <c r="C40" s="39"/>
      <c r="E40" s="26"/>
    </row>
    <row r="41" spans="2:8" ht="23.25" customHeight="1">
      <c r="B41" s="39"/>
      <c r="C41" s="39"/>
      <c r="E41" s="26"/>
    </row>
    <row r="42" spans="2:8" ht="23.25" customHeight="1">
      <c r="D42" s="36"/>
      <c r="E42" s="26"/>
    </row>
    <row r="43" spans="2:8" ht="23.25" customHeight="1">
      <c r="D43" s="36"/>
      <c r="E43" s="26"/>
    </row>
    <row r="44" spans="2:8" ht="23.25" customHeight="1">
      <c r="D44" s="36"/>
      <c r="E44" s="26"/>
    </row>
    <row r="45" spans="2:8">
      <c r="D45" s="36"/>
      <c r="E45" s="26"/>
    </row>
    <row r="46" spans="2:8">
      <c r="D46" s="36"/>
      <c r="E46" s="26"/>
    </row>
    <row r="47" spans="2:8">
      <c r="D47" s="36"/>
      <c r="E47" s="26"/>
    </row>
    <row r="48" spans="2:8">
      <c r="D48" s="36"/>
      <c r="E48" s="26"/>
    </row>
    <row r="49" spans="4:5">
      <c r="D49" s="36"/>
      <c r="E49" s="26"/>
    </row>
    <row r="50" spans="4:5">
      <c r="D50" s="36"/>
      <c r="E50" s="26"/>
    </row>
    <row r="51" spans="4:5">
      <c r="D51" s="36"/>
      <c r="E51" s="26"/>
    </row>
    <row r="52" spans="4:5">
      <c r="D52" s="36"/>
      <c r="E52" s="26"/>
    </row>
    <row r="53" spans="4:5">
      <c r="D53" s="36"/>
      <c r="E53" s="26"/>
    </row>
    <row r="54" spans="4:5">
      <c r="D54" s="36"/>
      <c r="E54" s="26"/>
    </row>
    <row r="55" spans="4:5">
      <c r="D55" s="36"/>
      <c r="E55" s="26"/>
    </row>
    <row r="56" spans="4:5">
      <c r="D56" s="36"/>
      <c r="E56" s="26"/>
    </row>
    <row r="57" spans="4:5">
      <c r="D57" s="36"/>
      <c r="E57" s="26"/>
    </row>
    <row r="58" spans="4:5">
      <c r="D58" s="36"/>
      <c r="E58" s="26"/>
    </row>
    <row r="59" spans="4:5">
      <c r="D59" s="36"/>
      <c r="E59" s="26"/>
    </row>
    <row r="60" spans="4:5">
      <c r="D60" s="36"/>
      <c r="E60" s="26"/>
    </row>
    <row r="61" spans="4:5">
      <c r="D61" s="36"/>
      <c r="E61" s="26"/>
    </row>
    <row r="62" spans="4:5">
      <c r="D62" s="36"/>
      <c r="E62" s="26"/>
    </row>
    <row r="63" spans="4:5">
      <c r="D63" s="36"/>
      <c r="E63" s="26"/>
    </row>
    <row r="64" spans="4:5">
      <c r="D64" s="36"/>
      <c r="E64" s="26"/>
    </row>
    <row r="65" spans="4:5">
      <c r="D65" s="36"/>
      <c r="E65" s="26"/>
    </row>
    <row r="66" spans="4:5">
      <c r="D66" s="36"/>
      <c r="E66" s="26"/>
    </row>
    <row r="67" spans="4:5">
      <c r="D67" s="36"/>
      <c r="E67" s="26"/>
    </row>
    <row r="68" spans="4:5">
      <c r="D68" s="36"/>
      <c r="E68" s="26"/>
    </row>
    <row r="69" spans="4:5">
      <c r="D69" s="36"/>
      <c r="E69" s="26"/>
    </row>
    <row r="70" spans="4:5">
      <c r="D70" s="36"/>
    </row>
  </sheetData>
  <mergeCells count="5">
    <mergeCell ref="G24:H24"/>
    <mergeCell ref="G14:H14"/>
    <mergeCell ref="G10:H10"/>
    <mergeCell ref="R5:V5"/>
    <mergeCell ref="E6:H8"/>
  </mergeCells>
  <hyperlinks>
    <hyperlink ref="F12" location="'Enrollment 5YR'!A1" tooltip="Activate Enrollment 5YR" display="• Enrollment 5YR"/>
    <hyperlink ref="F13" location="'FULL Enrollment Beyond Fall'!A1" tooltip="Activate FULL Enrollment Beyond Fall" display="• FULL Enrollment Beyond Fall"/>
    <hyperlink ref="F14" location="'Applicant Acceptance'!A1" tooltip="Activate Applicant Acceptance" display="• Applicant Acceptance"/>
    <hyperlink ref="F17" location="'Faculty Trends'!A1" tooltip="Activate Faculty Trends" display="• Faculty Trends"/>
    <hyperlink ref="F18" location="'Staff Trends'!A1" tooltip="Activate Staff Trends" display="• Staff Trends"/>
    <hyperlink ref="F15" location="'Geographic Diversity 5 Year'!A1" tooltip="Activate Geographic Diversity 5 Year" display="• Geographic Diversity 5 Year"/>
    <hyperlink ref="F16" location="'Ethnic Diversity 5 Year'!A1" tooltip="Activate Ethnic Diversity 5 Year" display="• Ethnic Diversity 5 Year"/>
    <hyperlink ref="F26" location="'Degrees Awards Granted'!A1" tooltip="Activate Degrees_Awards Granted" display="Degrees Awards Granted"/>
    <hyperlink ref="F25" location="'SUNY Educ Outcomes'!A1" tooltip="Activate SUNY Success Rates" display="SUNY Educ Outcomes"/>
    <hyperlink ref="F21" location="'Retention and Grad Rates'!A1" tooltip="Activate Retention and Grad Rates" display="• Retention and Grad Rates"/>
    <hyperlink ref="F23" location="'Transfer Grad Rates'!A1" tooltip="Activate Transfer Retention" display="Transfer Grad Rates"/>
    <hyperlink ref="F31" location="'Financial Aid Literacy'!A1" tooltip="Activate Financial Aid_Literacy" display="Financial Aid Literacy"/>
    <hyperlink ref="F34" location="'Research Expenditures'!A1" tooltip="Activate Research Expenditures" display="• Research Expenditures"/>
    <hyperlink ref="F37" location="'Alumni Philanthropy'!A1" tooltip="Activate Alumni_Philanthropy" display="Alumni Philanthropy"/>
    <hyperlink ref="F22" location="'First-Time Grad Rates'!A1" tooltip="Activate Transfer Retention" display="First-Time Grad Rates"/>
    <hyperlink ref="F29" location="'SOS Results Table 1. &amp; 2.'!A1" tooltip="Activate SOS Results Table 1. &amp; 2." display="• SOS Results Table 1. &amp; 2."/>
    <hyperlink ref="F30" location="'SOS Results Table 1. &amp; 2.'!A1" tooltip="Activate SOS Results Table 1. &amp; 2." display="• SOS Results Table 1. &amp; 2."/>
    <hyperlink ref="F24" location="'Time Credits to Degree'!A1" tooltip="Activate First Time &amp; Transfer Graduates" display="Time Credits to Degree"/>
  </hyperlinks>
  <printOptions horizontalCentered="1"/>
  <pageMargins left="0.2" right="0.2" top="0.5" bottom="0.5" header="0.3" footer="0.3"/>
  <pageSetup scale="65" fitToWidth="0" orientation="portrait" horizontalDpi="300" verticalDpi="300" r:id="rId1"/>
  <headerFooter alignWithMargins="0">
    <oddFooter>&amp;LState University of New York System Administration&amp;R&amp;G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tint="0.39997558519241921"/>
    <pageSetUpPr fitToPage="1"/>
  </sheetPr>
  <dimension ref="A1:AQ124"/>
  <sheetViews>
    <sheetView showGridLines="0" workbookViewId="0"/>
  </sheetViews>
  <sheetFormatPr defaultColWidth="9.140625" defaultRowHeight="11.25"/>
  <cols>
    <col min="1" max="1" width="9.140625" style="442" customWidth="1"/>
    <col min="2" max="2" width="7.140625" style="578" bestFit="1" customWidth="1"/>
    <col min="3" max="4" width="9.140625" style="581" customWidth="1"/>
    <col min="5" max="6" width="5.42578125" style="581" customWidth="1"/>
    <col min="7" max="7" width="6.42578125" style="581" customWidth="1"/>
    <col min="8" max="10" width="6.42578125" style="620" customWidth="1"/>
    <col min="11" max="11" width="1" style="582" customWidth="1"/>
    <col min="12" max="13" width="9.140625" style="581" customWidth="1"/>
    <col min="14" max="15" width="5.42578125" style="581" customWidth="1"/>
    <col min="16" max="16" width="8.42578125" style="581" customWidth="1"/>
    <col min="17" max="17" width="6.42578125" style="620" customWidth="1"/>
    <col min="18" max="19" width="9.140625" style="581" customWidth="1"/>
    <col min="20" max="21" width="5.42578125" style="581" customWidth="1"/>
    <col min="22" max="22" width="8.42578125" style="581" customWidth="1"/>
    <col min="23" max="23" width="6.42578125" style="620" customWidth="1"/>
    <col min="24" max="24" width="9.5703125" style="582" customWidth="1"/>
    <col min="25" max="25" width="2.140625" style="452" customWidth="1"/>
    <col min="26" max="26" width="7.5703125" style="443" customWidth="1"/>
    <col min="27" max="28" width="11.42578125" style="443" customWidth="1"/>
    <col min="29" max="36" width="11.42578125" style="444" customWidth="1"/>
    <col min="37" max="37" width="8.85546875" style="444" customWidth="1"/>
    <col min="38" max="41" width="11.42578125" style="444" customWidth="1"/>
    <col min="42" max="42" width="11.42578125" style="443" customWidth="1"/>
    <col min="43" max="43" width="2.140625" style="443" customWidth="1"/>
    <col min="44" max="16384" width="9.140625" style="443"/>
  </cols>
  <sheetData>
    <row r="1" spans="1:43" s="442" customFormat="1">
      <c r="B1" s="578"/>
      <c r="C1" s="581"/>
      <c r="D1" s="581"/>
      <c r="E1" s="581"/>
      <c r="F1" s="581"/>
      <c r="G1" s="581"/>
      <c r="H1" s="620"/>
      <c r="I1" s="620"/>
      <c r="J1" s="620"/>
      <c r="K1" s="582"/>
      <c r="L1" s="581"/>
      <c r="M1" s="581"/>
      <c r="N1" s="581"/>
      <c r="O1" s="581"/>
      <c r="P1" s="581"/>
      <c r="Q1" s="620"/>
      <c r="R1" s="581"/>
      <c r="S1" s="581"/>
      <c r="T1" s="581"/>
      <c r="U1" s="581"/>
      <c r="V1" s="581"/>
      <c r="W1" s="620"/>
      <c r="X1" s="582"/>
    </row>
    <row r="2" spans="1:43" s="442" customFormat="1">
      <c r="B2" s="578"/>
      <c r="D2" s="577" t="s">
        <v>619</v>
      </c>
      <c r="E2" s="581"/>
      <c r="F2" s="581"/>
      <c r="G2" s="581"/>
      <c r="H2" s="620"/>
      <c r="I2" s="620"/>
      <c r="J2" s="620"/>
      <c r="K2" s="582"/>
      <c r="M2" s="577" t="s">
        <v>620</v>
      </c>
      <c r="N2" s="581"/>
      <c r="O2" s="581"/>
      <c r="P2" s="581"/>
      <c r="Q2" s="620"/>
      <c r="S2" s="577" t="s">
        <v>642</v>
      </c>
      <c r="T2" s="581"/>
      <c r="U2" s="581"/>
      <c r="V2" s="581"/>
      <c r="W2" s="620"/>
      <c r="X2" s="582"/>
    </row>
    <row r="3" spans="1:43" s="442" customFormat="1">
      <c r="B3" s="578"/>
      <c r="C3" s="581"/>
      <c r="D3" s="581">
        <v>1</v>
      </c>
      <c r="E3" s="581" t="str">
        <f>VLOOKUP(D3,'SUNY Excels Dashboard'!$B:$U,10,0)</f>
        <v>Total Student Headcount</v>
      </c>
      <c r="F3" s="581"/>
      <c r="G3" s="581"/>
      <c r="H3" s="620"/>
      <c r="I3" s="620"/>
      <c r="J3" s="620"/>
      <c r="K3" s="582"/>
      <c r="L3" s="581"/>
      <c r="M3" s="581" t="s">
        <v>665</v>
      </c>
      <c r="N3" s="581" t="str">
        <f>VLOOKUP(M3,'SUNY Excels Dashboard'!$B:$U,10,0)</f>
        <v>Percent Student Minority</v>
      </c>
      <c r="O3" s="581"/>
      <c r="P3" s="581"/>
      <c r="Q3" s="620"/>
      <c r="R3" s="581"/>
      <c r="S3" s="581">
        <v>11</v>
      </c>
      <c r="T3" s="581" t="str">
        <f>VLOOKUP(S3,'SUNY Excels Dashboard'!$B:$U,10,0)</f>
        <v>EOP Enrollment</v>
      </c>
      <c r="U3" s="581"/>
      <c r="V3" s="581"/>
      <c r="W3" s="620"/>
      <c r="X3" s="582"/>
    </row>
    <row r="4" spans="1:43" s="442" customFormat="1">
      <c r="B4" s="578"/>
      <c r="C4" s="581"/>
      <c r="D4" s="581">
        <v>17</v>
      </c>
      <c r="E4" s="581" t="str">
        <f>VLOOKUP(D4,'SUNY Excels Dashboard'!$B:$U,10,0)</f>
        <v>Total Degrees Awarded</v>
      </c>
      <c r="F4" s="581"/>
      <c r="G4" s="581"/>
      <c r="H4" s="620"/>
      <c r="I4" s="620"/>
      <c r="J4" s="620"/>
      <c r="K4" s="582"/>
      <c r="L4" s="581"/>
      <c r="M4" s="581">
        <v>15</v>
      </c>
      <c r="N4" s="581" t="str">
        <f>VLOOKUP(M4,'SUNY Excels Dashboard'!$B:$U,10,0)</f>
        <v>3-year Associate Graduation Rate</v>
      </c>
      <c r="O4" s="581"/>
      <c r="P4" s="581"/>
      <c r="Q4" s="620"/>
      <c r="R4" s="581"/>
      <c r="S4" s="581">
        <v>16</v>
      </c>
      <c r="T4" s="581" t="str">
        <f>VLOOKUP(S4,'SUNY Excels Dashboard'!$B:$U,10,0)</f>
        <v>6-year Baccalaureate Graduation Rate</v>
      </c>
      <c r="U4" s="581"/>
      <c r="V4" s="581"/>
      <c r="W4" s="620"/>
      <c r="X4" s="582"/>
    </row>
    <row r="5" spans="1:43" s="442" customFormat="1">
      <c r="B5" s="578"/>
      <c r="C5" s="581"/>
      <c r="D5" s="581">
        <v>12</v>
      </c>
      <c r="E5" s="581" t="str">
        <f>VLOOKUP(D5,'SUNY Excels Dashboard'!$B:$U,10,0)</f>
        <v>Percent 1st Year Retention 
(First-time, Full-time)</v>
      </c>
      <c r="F5" s="581"/>
      <c r="G5" s="581"/>
      <c r="H5" s="620"/>
      <c r="I5" s="620"/>
      <c r="J5" s="620"/>
      <c r="K5" s="582"/>
      <c r="L5" s="581"/>
      <c r="M5" s="581">
        <v>13</v>
      </c>
      <c r="N5" s="581" t="str">
        <f>VLOOKUP(M5,'SUNY Excels Dashboard'!$B:$U,10,0)</f>
        <v>Time to Degree (years) - Associates</v>
      </c>
      <c r="O5" s="581"/>
      <c r="P5" s="581"/>
      <c r="Q5" s="620"/>
      <c r="R5" s="581"/>
      <c r="S5" s="581">
        <v>14</v>
      </c>
      <c r="T5" s="581" t="str">
        <f>VLOOKUP(S5,'SUNY Excels Dashboard'!$B:$U,10,0)</f>
        <v>Time to Degree (years) - Baccalaurete</v>
      </c>
      <c r="U5" s="581"/>
      <c r="V5" s="581"/>
      <c r="W5" s="620"/>
      <c r="X5" s="582"/>
    </row>
    <row r="6" spans="1:43" s="442" customFormat="1">
      <c r="B6" s="578"/>
      <c r="C6" s="581"/>
      <c r="D6" s="581">
        <v>29</v>
      </c>
      <c r="E6" s="581" t="str">
        <f>VLOOKUP(D6,'SUNY Excels Dashboard'!$B:$U,10,0)</f>
        <v>Student Default Rates - Campus1</v>
      </c>
      <c r="F6" s="581"/>
      <c r="G6" s="581"/>
      <c r="H6" s="620"/>
      <c r="I6" s="620"/>
      <c r="J6" s="620"/>
      <c r="K6" s="582"/>
      <c r="L6" s="581"/>
      <c r="M6" s="581">
        <v>30</v>
      </c>
      <c r="N6" s="581" t="str">
        <f>VLOOKUP(M6,'SUNY Excels Dashboard'!$B:$U,10,0)</f>
        <v>Student Default Rates - State Operated1</v>
      </c>
      <c r="O6" s="581"/>
      <c r="P6" s="581"/>
      <c r="Q6" s="620"/>
      <c r="R6" s="581"/>
      <c r="S6" s="581">
        <v>31</v>
      </c>
      <c r="T6" s="581" t="str">
        <f>VLOOKUP(S6,'SUNY Excels Dashboard'!$B:$U,10,0)</f>
        <v>Student Default Rates - Community Colleges1</v>
      </c>
      <c r="U6" s="581"/>
      <c r="V6" s="581"/>
      <c r="W6" s="620"/>
      <c r="X6" s="582"/>
    </row>
    <row r="7" spans="1:43" s="442" customFormat="1">
      <c r="B7" s="578"/>
      <c r="C7" s="581"/>
      <c r="D7" s="581">
        <v>24</v>
      </c>
      <c r="E7" s="581" t="str">
        <f>VLOOKUP(D7,'SUNY Excels Dashboard'!$B:$U,10,0)</f>
        <v>Percent Faculty Headcount Minority</v>
      </c>
      <c r="F7" s="581"/>
      <c r="G7" s="581"/>
      <c r="H7" s="620"/>
      <c r="I7" s="620"/>
      <c r="J7" s="620"/>
      <c r="K7" s="582"/>
      <c r="L7" s="581"/>
      <c r="M7" s="581">
        <v>32</v>
      </c>
      <c r="N7" s="581" t="str">
        <f>VLOOKUP(M7,'SUNY Excels Dashboard'!$B:$U,10,0)</f>
        <v>Sponsored Activity - Total ($millions)</v>
      </c>
      <c r="O7" s="581"/>
      <c r="P7" s="581"/>
      <c r="Q7" s="620"/>
      <c r="R7" s="581"/>
      <c r="S7" s="581">
        <v>35</v>
      </c>
      <c r="T7" s="581" t="str">
        <f>VLOOKUP(S7,'SUNY Excels Dashboard'!$B:$U,10,0)</f>
        <v>Funds Raised ($millions)</v>
      </c>
      <c r="U7" s="581"/>
      <c r="V7" s="581"/>
      <c r="W7" s="620"/>
      <c r="X7" s="582"/>
    </row>
    <row r="8" spans="1:43" s="442" customFormat="1">
      <c r="B8" s="578"/>
      <c r="C8" s="581"/>
      <c r="D8" s="581"/>
      <c r="E8" s="581"/>
      <c r="F8" s="581"/>
      <c r="G8" s="581"/>
      <c r="H8" s="620"/>
      <c r="I8" s="620"/>
      <c r="J8" s="620"/>
      <c r="K8" s="582"/>
      <c r="L8" s="581"/>
      <c r="M8" s="581"/>
      <c r="N8" s="581"/>
      <c r="O8" s="581"/>
      <c r="P8" s="581"/>
      <c r="Q8" s="620"/>
      <c r="R8" s="581"/>
      <c r="S8" s="581"/>
      <c r="T8" s="581"/>
      <c r="U8" s="581"/>
      <c r="V8" s="581"/>
      <c r="W8" s="620"/>
      <c r="X8" s="582"/>
    </row>
    <row r="9" spans="1:43" s="442" customFormat="1">
      <c r="B9" s="578"/>
      <c r="C9" s="581"/>
      <c r="D9" s="581"/>
      <c r="E9" s="581"/>
      <c r="F9" s="581"/>
      <c r="G9" s="581"/>
      <c r="H9" s="620"/>
      <c r="I9" s="620"/>
      <c r="J9" s="620"/>
      <c r="K9" s="582"/>
      <c r="L9" s="581"/>
      <c r="M9" s="581"/>
      <c r="N9" s="581"/>
      <c r="O9" s="581"/>
      <c r="P9" s="581"/>
      <c r="Q9" s="620"/>
      <c r="R9" s="581"/>
      <c r="S9" s="581"/>
      <c r="T9" s="581"/>
      <c r="U9" s="581"/>
      <c r="V9" s="581"/>
      <c r="W9" s="620"/>
      <c r="X9" s="582"/>
      <c r="AC9" s="565"/>
      <c r="AD9" s="565"/>
      <c r="AE9" s="565"/>
      <c r="AF9" s="565"/>
      <c r="AG9" s="565"/>
      <c r="AH9" s="565"/>
      <c r="AI9" s="565"/>
      <c r="AJ9" s="565"/>
      <c r="AK9" s="565"/>
      <c r="AL9" s="565"/>
      <c r="AM9" s="565"/>
      <c r="AN9" s="565"/>
      <c r="AO9" s="565"/>
      <c r="AP9" s="565"/>
      <c r="AQ9" s="565"/>
    </row>
    <row r="10" spans="1:43" s="442" customFormat="1" ht="14.25">
      <c r="B10" s="580">
        <v>2</v>
      </c>
      <c r="C10" s="577" t="s">
        <v>601</v>
      </c>
      <c r="D10" s="581" t="str">
        <f>VLOOKUP($D$14,'SUNY Excels Dashboard'!$B:$U,$B10,0)</f>
        <v>Canton</v>
      </c>
      <c r="E10" s="581"/>
      <c r="F10" s="581"/>
      <c r="G10" s="581"/>
      <c r="H10" s="620"/>
      <c r="I10" s="620"/>
      <c r="J10" s="620"/>
      <c r="K10" s="582"/>
      <c r="L10" s="577"/>
      <c r="M10" s="581"/>
      <c r="N10" s="581"/>
      <c r="O10" s="581"/>
      <c r="P10" s="581"/>
      <c r="Q10" s="620"/>
      <c r="R10" s="577"/>
      <c r="S10" s="581"/>
      <c r="T10" s="581"/>
      <c r="U10" s="581"/>
      <c r="V10" s="581"/>
      <c r="W10" s="620"/>
      <c r="X10" s="582"/>
      <c r="AC10" s="565"/>
      <c r="AD10" s="565"/>
      <c r="AE10" s="565"/>
      <c r="AF10" s="565"/>
      <c r="AG10" s="565"/>
      <c r="AH10" s="565"/>
      <c r="AI10" s="565"/>
      <c r="AJ10" s="565"/>
      <c r="AK10" s="565"/>
      <c r="AL10" s="565"/>
      <c r="AM10" s="565"/>
      <c r="AN10" s="565"/>
      <c r="AO10" s="565"/>
      <c r="AP10" s="565"/>
      <c r="AQ10" s="565"/>
    </row>
    <row r="12" spans="1:43" ht="30.75" thickBot="1">
      <c r="A12" s="445">
        <f>+'Campus Selector'!G6</f>
        <v>25</v>
      </c>
      <c r="B12" s="579"/>
      <c r="F12" s="583"/>
      <c r="L12" s="584"/>
      <c r="O12" s="583"/>
      <c r="R12" s="584"/>
      <c r="U12" s="583"/>
      <c r="Y12" s="611"/>
      <c r="Z12" s="609" t="str">
        <f>+'Campus Selector'!G3</f>
        <v>Canton</v>
      </c>
      <c r="AA12" s="609"/>
      <c r="AB12" s="609"/>
      <c r="AC12" s="610"/>
      <c r="AD12" s="611"/>
      <c r="AE12" s="611"/>
      <c r="AF12" s="611"/>
      <c r="AG12" s="611"/>
      <c r="AH12" s="611"/>
      <c r="AI12" s="611"/>
      <c r="AJ12" s="611"/>
      <c r="AK12" s="611"/>
      <c r="AL12" s="611"/>
      <c r="AM12" s="611"/>
      <c r="AN12" s="611"/>
      <c r="AO12" s="809" t="str">
        <f ca="1">TEXT(NOW(),"MMMM YYYY")</f>
        <v>October 2015</v>
      </c>
      <c r="AP12" s="809"/>
      <c r="AQ12" s="809"/>
    </row>
    <row r="13" spans="1:43" ht="33.75" customHeight="1" thickTop="1">
      <c r="A13" s="442" t="s">
        <v>256</v>
      </c>
      <c r="B13" s="579"/>
      <c r="C13" s="442"/>
      <c r="D13" s="442"/>
      <c r="E13" s="442"/>
      <c r="F13" s="442"/>
      <c r="L13" s="584"/>
      <c r="O13" s="583"/>
      <c r="R13" s="584"/>
      <c r="U13" s="583"/>
      <c r="Y13" s="638"/>
      <c r="Z13" s="638" t="s">
        <v>653</v>
      </c>
      <c r="AA13" s="638"/>
      <c r="AB13" s="638"/>
      <c r="AC13" s="638"/>
      <c r="AD13" s="638"/>
      <c r="AE13" s="638"/>
      <c r="AF13" s="638"/>
      <c r="AG13" s="638"/>
      <c r="AH13" s="638"/>
      <c r="AI13" s="638"/>
      <c r="AJ13" s="638"/>
      <c r="AK13" s="443"/>
      <c r="AL13" s="443"/>
      <c r="AM13" s="443"/>
      <c r="AN13" s="443"/>
      <c r="AO13" s="443"/>
    </row>
    <row r="14" spans="1:43">
      <c r="C14" s="583" t="s">
        <v>225</v>
      </c>
      <c r="D14" s="585">
        <f>+D3</f>
        <v>1</v>
      </c>
      <c r="L14" s="583" t="s">
        <v>225</v>
      </c>
      <c r="M14" s="585" t="str">
        <f>+M3</f>
        <v>8a</v>
      </c>
      <c r="R14" s="583" t="s">
        <v>225</v>
      </c>
      <c r="S14" s="585">
        <f>+S3</f>
        <v>11</v>
      </c>
      <c r="Y14" s="567"/>
      <c r="Z14" s="567"/>
      <c r="AA14" s="567"/>
      <c r="AB14" s="567"/>
      <c r="AC14" s="567"/>
      <c r="AD14" s="567"/>
      <c r="AE14" s="567"/>
      <c r="AF14" s="567"/>
      <c r="AG14" s="567"/>
      <c r="AH14" s="567"/>
      <c r="AI14" s="567"/>
      <c r="AJ14" s="567"/>
      <c r="AK14" s="567"/>
      <c r="AL14" s="567"/>
      <c r="AM14" s="567"/>
      <c r="AN14" s="567"/>
      <c r="AO14" s="567"/>
      <c r="AP14" s="567"/>
      <c r="AQ14" s="567"/>
    </row>
    <row r="15" spans="1:43" ht="14.25">
      <c r="B15" s="580">
        <v>3</v>
      </c>
      <c r="C15" s="581" t="s">
        <v>602</v>
      </c>
      <c r="D15" s="581" t="str">
        <f>VLOOKUP($D$14,'SUNY Excels Dashboard'!$B:$U,B15,0)</f>
        <v>Access</v>
      </c>
      <c r="L15" s="581" t="s">
        <v>602</v>
      </c>
      <c r="M15" s="581" t="str">
        <f>VLOOKUP(M$14,'SUNY Excels Dashboard'!$B:$U,$B15,0)</f>
        <v>Access</v>
      </c>
      <c r="R15" s="581" t="s">
        <v>602</v>
      </c>
      <c r="S15" s="581" t="str">
        <f>VLOOKUP(S14,'SUNY Excels Dashboard'!$B:$U,$B15,0)</f>
        <v>Access</v>
      </c>
      <c r="Y15" s="567"/>
      <c r="Z15" s="567"/>
      <c r="AA15" s="568"/>
      <c r="AB15" s="569"/>
      <c r="AC15" s="570"/>
      <c r="AD15" s="570"/>
      <c r="AE15" s="570"/>
      <c r="AF15" s="570"/>
      <c r="AG15" s="570"/>
      <c r="AH15" s="570"/>
      <c r="AI15" s="570"/>
      <c r="AJ15" s="570"/>
      <c r="AK15" s="570"/>
      <c r="AL15" s="570"/>
      <c r="AM15" s="570"/>
      <c r="AN15" s="570"/>
      <c r="AO15" s="570"/>
      <c r="AP15" s="571"/>
      <c r="AQ15" s="571"/>
    </row>
    <row r="16" spans="1:43" s="452" customFormat="1" ht="14.25">
      <c r="A16" s="442"/>
      <c r="B16" s="580">
        <v>10</v>
      </c>
      <c r="C16" s="581" t="s">
        <v>600</v>
      </c>
      <c r="D16" s="581" t="str">
        <f>VLOOKUP($D$14,'SUNY Excels Dashboard'!$B:$U,B16,0)</f>
        <v>Total Student Headcount</v>
      </c>
      <c r="E16" s="581"/>
      <c r="F16" s="581"/>
      <c r="G16" s="581"/>
      <c r="H16" s="620"/>
      <c r="I16" s="620"/>
      <c r="J16" s="620"/>
      <c r="K16" s="582"/>
      <c r="L16" s="581" t="s">
        <v>600</v>
      </c>
      <c r="M16" s="581" t="str">
        <f>VLOOKUP(M$14,'SUNY Excels Dashboard'!$B:$U,$B16,0)</f>
        <v>Percent Student Minority</v>
      </c>
      <c r="N16" s="581"/>
      <c r="O16" s="581"/>
      <c r="P16" s="581"/>
      <c r="Q16" s="620"/>
      <c r="R16" s="581" t="s">
        <v>600</v>
      </c>
      <c r="S16" s="581" t="str">
        <f>VLOOKUP(S14,'SUNY Excels Dashboard'!$B:$U,$B16,0)</f>
        <v>EOP Enrollment</v>
      </c>
      <c r="T16" s="581"/>
      <c r="U16" s="581"/>
      <c r="V16" s="581"/>
      <c r="W16" s="620"/>
      <c r="X16" s="582"/>
      <c r="Y16" s="567"/>
      <c r="Z16" s="567"/>
      <c r="AA16" s="572"/>
      <c r="AB16" s="576"/>
      <c r="AC16" s="576"/>
      <c r="AD16" s="576"/>
      <c r="AE16" s="576"/>
      <c r="AF16" s="576"/>
      <c r="AG16" s="576"/>
      <c r="AH16" s="576"/>
      <c r="AI16" s="576"/>
      <c r="AJ16" s="576"/>
      <c r="AK16" s="576"/>
      <c r="AL16" s="576"/>
      <c r="AM16" s="576"/>
      <c r="AN16" s="576"/>
      <c r="AO16" s="571"/>
      <c r="AP16" s="571"/>
      <c r="AQ16" s="571"/>
    </row>
    <row r="17" spans="1:43" s="452" customFormat="1" ht="14.25">
      <c r="A17" s="442"/>
      <c r="B17" s="580">
        <v>4</v>
      </c>
      <c r="C17" s="581" t="s">
        <v>608</v>
      </c>
      <c r="D17" s="581" t="str">
        <f>VLOOKUP($D$14,'SUNY Excels Dashboard'!$B:$U,B17,0)</f>
        <v>#,###</v>
      </c>
      <c r="E17" s="581"/>
      <c r="F17" s="581"/>
      <c r="G17" s="581"/>
      <c r="H17" s="620"/>
      <c r="I17" s="620"/>
      <c r="J17" s="620"/>
      <c r="K17" s="582"/>
      <c r="L17" s="581" t="s">
        <v>608</v>
      </c>
      <c r="M17" s="581" t="str">
        <f>VLOOKUP(M$14,'SUNY Excels Dashboard'!$B:$U,$B17,0)</f>
        <v>0.0%</v>
      </c>
      <c r="N17" s="581"/>
      <c r="O17" s="581"/>
      <c r="P17" s="581"/>
      <c r="Q17" s="620"/>
      <c r="R17" s="581" t="s">
        <v>608</v>
      </c>
      <c r="S17" s="581" t="str">
        <f>VLOOKUP(S14,'SUNY Excels Dashboard'!$B:$U,$B17,0)</f>
        <v>#,###</v>
      </c>
      <c r="T17" s="581"/>
      <c r="U17" s="581"/>
      <c r="V17" s="581"/>
      <c r="W17" s="620"/>
      <c r="X17" s="582"/>
      <c r="Y17" s="567"/>
      <c r="Z17" s="567"/>
      <c r="AA17" s="572"/>
      <c r="AB17" s="573"/>
      <c r="AC17" s="571"/>
      <c r="AD17" s="571"/>
      <c r="AE17" s="571"/>
      <c r="AF17" s="571"/>
      <c r="AG17" s="571"/>
      <c r="AH17" s="571"/>
      <c r="AI17" s="571"/>
      <c r="AJ17" s="571"/>
      <c r="AK17" s="571"/>
      <c r="AL17" s="571"/>
      <c r="AM17" s="571"/>
      <c r="AN17" s="571"/>
      <c r="AO17" s="571"/>
      <c r="AP17" s="571"/>
      <c r="AQ17" s="571"/>
    </row>
    <row r="18" spans="1:43" s="452" customFormat="1" ht="14.25">
      <c r="A18" s="442"/>
      <c r="B18" s="580">
        <v>6</v>
      </c>
      <c r="C18" s="581" t="s">
        <v>621</v>
      </c>
      <c r="D18" s="591" t="str">
        <f>VLOOKUP($D$14,'SUNY Excels Dashboard'!$B:$U,B18,0)</f>
        <v>line</v>
      </c>
      <c r="E18" s="581"/>
      <c r="F18" s="581"/>
      <c r="G18" s="581"/>
      <c r="H18" s="620"/>
      <c r="I18" s="620"/>
      <c r="J18" s="620"/>
      <c r="K18" s="582"/>
      <c r="L18" s="581" t="s">
        <v>621</v>
      </c>
      <c r="M18" s="591" t="str">
        <f>VLOOKUP(M$14,'SUNY Excels Dashboard'!$B:$U,$B18,0)</f>
        <v>line</v>
      </c>
      <c r="N18" s="581"/>
      <c r="O18" s="581"/>
      <c r="P18" s="581"/>
      <c r="Q18" s="620"/>
      <c r="R18" s="581" t="s">
        <v>621</v>
      </c>
      <c r="S18" s="591" t="str">
        <f>VLOOKUP(S14,'SUNY Excels Dashboard'!$B:$U,$B18,0)</f>
        <v>line</v>
      </c>
      <c r="T18" s="581"/>
      <c r="U18" s="581"/>
      <c r="V18" s="581"/>
      <c r="W18" s="620"/>
      <c r="X18" s="582"/>
      <c r="Y18" s="567"/>
      <c r="Z18" s="567"/>
      <c r="AA18" s="572"/>
      <c r="AB18" s="573"/>
      <c r="AC18" s="571"/>
      <c r="AD18" s="571"/>
      <c r="AE18" s="571"/>
      <c r="AF18" s="571"/>
      <c r="AG18" s="571"/>
      <c r="AH18" s="571"/>
      <c r="AI18" s="571"/>
      <c r="AJ18" s="571"/>
      <c r="AK18" s="571"/>
      <c r="AL18" s="571"/>
      <c r="AM18" s="571"/>
      <c r="AN18" s="571"/>
      <c r="AO18" s="571"/>
      <c r="AP18" s="571"/>
      <c r="AQ18" s="571"/>
    </row>
    <row r="19" spans="1:43" s="452" customFormat="1" ht="14.25">
      <c r="A19" s="442"/>
      <c r="B19" s="580">
        <v>5</v>
      </c>
      <c r="C19" s="581" t="s">
        <v>613</v>
      </c>
      <c r="D19" s="581" t="str">
        <f>VLOOKUP($D$14,'SUNY Excels Dashboard'!$B:$U,B19,0)</f>
        <v>Fall Semester</v>
      </c>
      <c r="E19" s="581"/>
      <c r="F19" s="581"/>
      <c r="G19" s="581"/>
      <c r="H19" s="620"/>
      <c r="I19" s="620"/>
      <c r="J19" s="620"/>
      <c r="K19" s="582"/>
      <c r="L19" s="581" t="s">
        <v>613</v>
      </c>
      <c r="M19" s="581" t="str">
        <f>VLOOKUP(M$14,'SUNY Excels Dashboard'!$B:$U,$B19,0)</f>
        <v>Fall Semester</v>
      </c>
      <c r="N19" s="581"/>
      <c r="O19" s="581"/>
      <c r="P19" s="581"/>
      <c r="Q19" s="620"/>
      <c r="R19" s="581" t="s">
        <v>613</v>
      </c>
      <c r="S19" s="581" t="str">
        <f>VLOOKUP(S14,'SUNY Excels Dashboard'!$B:$U,$B19,0)</f>
        <v>Fall Semester</v>
      </c>
      <c r="T19" s="581"/>
      <c r="U19" s="581"/>
      <c r="V19" s="581"/>
      <c r="W19" s="620"/>
      <c r="X19" s="582"/>
      <c r="Y19" s="567"/>
      <c r="Z19" s="567"/>
      <c r="AA19" s="571"/>
      <c r="AB19" s="571"/>
      <c r="AC19" s="571"/>
      <c r="AD19" s="571"/>
      <c r="AE19" s="571"/>
      <c r="AF19" s="571"/>
      <c r="AG19" s="571"/>
      <c r="AH19" s="571"/>
      <c r="AI19" s="571"/>
      <c r="AJ19" s="571"/>
      <c r="AK19" s="571"/>
      <c r="AL19" s="571"/>
      <c r="AM19" s="571"/>
      <c r="AN19" s="571"/>
      <c r="AO19" s="571"/>
      <c r="AP19" s="571"/>
      <c r="AQ19" s="571"/>
    </row>
    <row r="20" spans="1:43">
      <c r="C20" s="581" t="s">
        <v>606</v>
      </c>
      <c r="D20" s="581" t="str">
        <f>+D15&amp;CHAR(10)&amp;D16</f>
        <v>Access
Total Student Headcount</v>
      </c>
      <c r="L20" s="581" t="s">
        <v>606</v>
      </c>
      <c r="M20" s="581" t="str">
        <f>+M15&amp;CHAR(10)&amp;M16</f>
        <v>Access
Percent Student Minority</v>
      </c>
      <c r="R20" s="581" t="s">
        <v>606</v>
      </c>
      <c r="S20" s="581" t="str">
        <f>+S15&amp;CHAR(10)&amp;S16</f>
        <v>Access
EOP Enrollment</v>
      </c>
      <c r="Y20" s="574"/>
      <c r="Z20" s="574"/>
      <c r="AA20" s="574"/>
      <c r="AB20" s="574"/>
      <c r="AC20" s="575"/>
      <c r="AD20" s="575"/>
      <c r="AE20" s="575"/>
      <c r="AF20" s="575"/>
      <c r="AG20" s="575"/>
      <c r="AH20" s="575"/>
      <c r="AI20" s="575"/>
      <c r="AJ20" s="575"/>
      <c r="AK20" s="575"/>
      <c r="AL20" s="575"/>
      <c r="AM20" s="575"/>
      <c r="AN20" s="575"/>
      <c r="AO20" s="575"/>
      <c r="AP20" s="574"/>
      <c r="AQ20" s="574"/>
    </row>
    <row r="21" spans="1:43">
      <c r="C21" s="584"/>
      <c r="D21" s="584"/>
      <c r="L21" s="584"/>
      <c r="M21" s="584"/>
      <c r="R21" s="584"/>
      <c r="S21" s="584"/>
      <c r="Y21" s="574"/>
      <c r="Z21" s="574"/>
      <c r="AA21" s="574"/>
      <c r="AB21" s="574"/>
      <c r="AC21" s="575"/>
      <c r="AD21" s="575"/>
      <c r="AE21" s="575"/>
      <c r="AF21" s="575"/>
      <c r="AG21" s="575"/>
      <c r="AH21" s="575"/>
      <c r="AI21" s="575"/>
      <c r="AJ21" s="575"/>
      <c r="AK21" s="575"/>
      <c r="AL21" s="575"/>
      <c r="AM21" s="575"/>
      <c r="AN21" s="575"/>
      <c r="AO21" s="575"/>
      <c r="AP21" s="574"/>
      <c r="AQ21" s="574"/>
    </row>
    <row r="22" spans="1:43">
      <c r="C22" s="584"/>
      <c r="D22" s="584" t="s">
        <v>605</v>
      </c>
      <c r="E22" s="584" t="s">
        <v>607</v>
      </c>
      <c r="F22" s="581" t="s">
        <v>603</v>
      </c>
      <c r="G22" s="581" t="s">
        <v>604</v>
      </c>
      <c r="H22" s="620" t="s">
        <v>643</v>
      </c>
      <c r="L22" s="584"/>
      <c r="M22" s="584" t="s">
        <v>605</v>
      </c>
      <c r="N22" s="584" t="s">
        <v>607</v>
      </c>
      <c r="O22" s="581" t="s">
        <v>603</v>
      </c>
      <c r="P22" s="581" t="s">
        <v>604</v>
      </c>
      <c r="Q22" s="620" t="s">
        <v>643</v>
      </c>
      <c r="R22" s="584"/>
      <c r="S22" s="584" t="s">
        <v>605</v>
      </c>
      <c r="T22" s="584" t="s">
        <v>607</v>
      </c>
      <c r="U22" s="581" t="s">
        <v>603</v>
      </c>
      <c r="V22" s="581" t="s">
        <v>604</v>
      </c>
      <c r="W22" s="620" t="s">
        <v>643</v>
      </c>
      <c r="Y22" s="574"/>
      <c r="Z22" s="574"/>
      <c r="AA22" s="574"/>
      <c r="AB22" s="574"/>
      <c r="AC22" s="575"/>
      <c r="AD22" s="575"/>
      <c r="AE22" s="575"/>
      <c r="AF22" s="575"/>
      <c r="AG22" s="575"/>
      <c r="AH22" s="575"/>
      <c r="AI22" s="575"/>
      <c r="AJ22" s="575"/>
      <c r="AK22" s="575"/>
      <c r="AL22" s="575"/>
      <c r="AM22" s="575"/>
      <c r="AN22" s="575"/>
      <c r="AO22" s="575"/>
      <c r="AP22" s="574"/>
      <c r="AQ22" s="574"/>
    </row>
    <row r="23" spans="1:43">
      <c r="C23" s="584" t="s">
        <v>64</v>
      </c>
      <c r="D23" s="584" t="s">
        <v>49</v>
      </c>
      <c r="E23" s="586">
        <f>INDEX('SUNY Excels Dashboard'!$B$2:$U$67,MATCH(D14,'SUNY Excels Dashboard'!$B$2:$B$67,0),MATCH($D23,'SUNY Excels Dashboard'!$B$2:$U$2,0))</f>
        <v>3320</v>
      </c>
      <c r="F23" s="581" t="str">
        <f>IF(RIGHT($D$19,4)="year",C23,RIGHT(D23,4))</f>
        <v>2009</v>
      </c>
      <c r="G23" s="621">
        <f t="shared" ref="G23:G27" si="0">IF(+E23="-",NA(),E23)</f>
        <v>3320</v>
      </c>
      <c r="H23" s="622" t="s">
        <v>187</v>
      </c>
      <c r="I23" s="622"/>
      <c r="J23" s="622"/>
      <c r="L23" s="584" t="s">
        <v>64</v>
      </c>
      <c r="M23" s="584" t="s">
        <v>49</v>
      </c>
      <c r="N23" s="586">
        <f>INDEX('SUNY Excels Dashboard'!$B$2:$U$67,MATCH(M14,'SUNY Excels Dashboard'!$B$2:$B$67,0),MATCH($D23,'SUNY Excels Dashboard'!$B$2:$U$2,0))</f>
        <v>0.17048192771084336</v>
      </c>
      <c r="O23" s="581" t="str">
        <f>IF(RIGHT($M$19,4)="year",L23,RIGHT(M23,4))</f>
        <v>2009</v>
      </c>
      <c r="P23" s="581">
        <f t="shared" ref="P23:P29" si="1">IF(+N23="-",NA(),N23)</f>
        <v>0.17048192771084336</v>
      </c>
      <c r="Q23" s="623">
        <v>0.35499999999999998</v>
      </c>
      <c r="R23" s="584" t="s">
        <v>64</v>
      </c>
      <c r="S23" s="584" t="s">
        <v>49</v>
      </c>
      <c r="T23" s="586">
        <f>INDEX('SUNY Excels Dashboard'!$B$2:$U$67,MATCH(S14,'SUNY Excels Dashboard'!$B$2:$B$67,0),MATCH($D23,'SUNY Excels Dashboard'!$B$2:$U$2,0))</f>
        <v>289</v>
      </c>
      <c r="U23" s="581" t="str">
        <f>IF(RIGHT($M$19,4)="year",R23,RIGHT(S23,4))</f>
        <v>2009</v>
      </c>
      <c r="V23" s="581">
        <f t="shared" ref="V23:V29" si="2">IF(+T23="-",NA(),T23)</f>
        <v>289</v>
      </c>
      <c r="W23" s="622" t="s">
        <v>187</v>
      </c>
      <c r="Y23" s="574"/>
      <c r="Z23" s="574"/>
      <c r="AA23" s="574"/>
      <c r="AB23" s="574"/>
      <c r="AC23" s="575"/>
      <c r="AD23" s="575"/>
      <c r="AE23" s="575"/>
      <c r="AF23" s="575"/>
      <c r="AG23" s="575"/>
      <c r="AH23" s="575"/>
      <c r="AI23" s="575"/>
      <c r="AJ23" s="575"/>
      <c r="AK23" s="575"/>
      <c r="AL23" s="575"/>
      <c r="AM23" s="575"/>
      <c r="AN23" s="575"/>
      <c r="AO23" s="575"/>
      <c r="AP23" s="574"/>
      <c r="AQ23" s="574"/>
    </row>
    <row r="24" spans="1:43">
      <c r="C24" s="584" t="s">
        <v>65</v>
      </c>
      <c r="D24" s="584" t="s">
        <v>50</v>
      </c>
      <c r="E24" s="586">
        <f>INDEX('SUNY Excels Dashboard'!$B$2:$U$67,MATCH(D14,'SUNY Excels Dashboard'!$B$2:$B$67,0),MATCH($D24,'SUNY Excels Dashboard'!$B$2:$U$2,0))</f>
        <v>3655</v>
      </c>
      <c r="F24" s="581" t="str">
        <f>IF(RIGHT($D$19,4)="year",C24,RIGHT(D24,4))</f>
        <v>2010</v>
      </c>
      <c r="G24" s="621">
        <f t="shared" si="0"/>
        <v>3655</v>
      </c>
      <c r="H24" s="622" t="s">
        <v>187</v>
      </c>
      <c r="I24" s="622"/>
      <c r="J24" s="622"/>
      <c r="L24" s="584" t="s">
        <v>65</v>
      </c>
      <c r="M24" s="584" t="s">
        <v>50</v>
      </c>
      <c r="N24" s="586">
        <f>INDEX('SUNY Excels Dashboard'!$B$2:$U$67,MATCH(M14,'SUNY Excels Dashboard'!$B$2:$B$67,0),MATCH($D24,'SUNY Excels Dashboard'!$B$2:$U$2,0))</f>
        <v>0.16634746922024624</v>
      </c>
      <c r="O24" s="581" t="str">
        <f t="shared" ref="O24:O31" si="3">IF(RIGHT($M$19,4)="year",L24,RIGHT(M24,4))</f>
        <v>2010</v>
      </c>
      <c r="P24" s="581">
        <f t="shared" si="1"/>
        <v>0.16634746922024624</v>
      </c>
      <c r="Q24" s="623">
        <v>0.373</v>
      </c>
      <c r="R24" s="584" t="s">
        <v>65</v>
      </c>
      <c r="S24" s="584" t="s">
        <v>50</v>
      </c>
      <c r="T24" s="586">
        <f>INDEX('SUNY Excels Dashboard'!$B$2:$U$67,MATCH(S14,'SUNY Excels Dashboard'!$B$2:$B$67,0),MATCH($D24,'SUNY Excels Dashboard'!$B$2:$U$2,0))</f>
        <v>282</v>
      </c>
      <c r="U24" s="581" t="str">
        <f t="shared" ref="U24:U31" si="4">IF(RIGHT($M$19,4)="year",R24,RIGHT(S24,4))</f>
        <v>2010</v>
      </c>
      <c r="V24" s="581">
        <f t="shared" si="2"/>
        <v>282</v>
      </c>
      <c r="W24" s="622" t="s">
        <v>187</v>
      </c>
      <c r="Y24" s="574"/>
      <c r="Z24" s="574"/>
      <c r="AA24" s="574"/>
      <c r="AB24" s="574"/>
      <c r="AC24" s="575"/>
      <c r="AD24" s="575"/>
      <c r="AE24" s="575"/>
      <c r="AF24" s="575"/>
      <c r="AG24" s="575"/>
      <c r="AH24" s="575"/>
      <c r="AI24" s="575"/>
      <c r="AJ24" s="575"/>
      <c r="AK24" s="575"/>
      <c r="AL24" s="575"/>
      <c r="AM24" s="575"/>
      <c r="AN24" s="575"/>
      <c r="AO24" s="575"/>
      <c r="AP24" s="574"/>
      <c r="AQ24" s="574"/>
    </row>
    <row r="25" spans="1:43">
      <c r="C25" s="584" t="s">
        <v>66</v>
      </c>
      <c r="D25" s="584" t="s">
        <v>51</v>
      </c>
      <c r="E25" s="586">
        <f>INDEX('SUNY Excels Dashboard'!$B$2:$U$67,MATCH(D14,'SUNY Excels Dashboard'!$B$2:$B$67,0),MATCH($D25,'SUNY Excels Dashboard'!$B$2:$U$2,0))</f>
        <v>3825</v>
      </c>
      <c r="F25" s="581" t="str">
        <f>IF(RIGHT($D$19,4)="year",C25,RIGHT(D25,4))</f>
        <v>2011</v>
      </c>
      <c r="G25" s="621">
        <f t="shared" si="0"/>
        <v>3825</v>
      </c>
      <c r="H25" s="622" t="s">
        <v>187</v>
      </c>
      <c r="I25" s="622"/>
      <c r="J25" s="622"/>
      <c r="L25" s="584" t="s">
        <v>66</v>
      </c>
      <c r="M25" s="584" t="s">
        <v>51</v>
      </c>
      <c r="N25" s="586">
        <f>INDEX('SUNY Excels Dashboard'!$B$2:$U$67,MATCH(M14,'SUNY Excels Dashboard'!$B$2:$B$67,0),MATCH($D25,'SUNY Excels Dashboard'!$B$2:$U$2,0))</f>
        <v>0.20941176470588235</v>
      </c>
      <c r="O25" s="581" t="str">
        <f t="shared" si="3"/>
        <v>2011</v>
      </c>
      <c r="P25" s="581">
        <f t="shared" si="1"/>
        <v>0.20941176470588235</v>
      </c>
      <c r="Q25" s="623">
        <v>0.38799999999999996</v>
      </c>
      <c r="R25" s="584" t="s">
        <v>66</v>
      </c>
      <c r="S25" s="584" t="s">
        <v>51</v>
      </c>
      <c r="T25" s="586">
        <f>INDEX('SUNY Excels Dashboard'!$B$2:$U$67,MATCH(S14,'SUNY Excels Dashboard'!$B$2:$B$67,0),MATCH($D25,'SUNY Excels Dashboard'!$B$2:$U$2,0))</f>
        <v>287</v>
      </c>
      <c r="U25" s="581" t="str">
        <f t="shared" si="4"/>
        <v>2011</v>
      </c>
      <c r="V25" s="581">
        <f t="shared" si="2"/>
        <v>287</v>
      </c>
      <c r="W25" s="622" t="s">
        <v>187</v>
      </c>
      <c r="Y25" s="574"/>
      <c r="Z25" s="574"/>
      <c r="AA25" s="574"/>
      <c r="AB25" s="574"/>
      <c r="AC25" s="575"/>
      <c r="AD25" s="575"/>
      <c r="AE25" s="575"/>
      <c r="AF25" s="575"/>
      <c r="AG25" s="575"/>
      <c r="AH25" s="575"/>
      <c r="AI25" s="575"/>
      <c r="AJ25" s="575"/>
      <c r="AK25" s="575"/>
      <c r="AL25" s="575"/>
      <c r="AM25" s="575"/>
      <c r="AN25" s="575"/>
      <c r="AO25" s="575"/>
      <c r="AP25" s="574"/>
      <c r="AQ25" s="574"/>
    </row>
    <row r="26" spans="1:43">
      <c r="C26" s="584" t="s">
        <v>67</v>
      </c>
      <c r="D26" s="584" t="s">
        <v>52</v>
      </c>
      <c r="E26" s="586">
        <f>INDEX('SUNY Excels Dashboard'!$B$2:$U$67,MATCH(D14,'SUNY Excels Dashboard'!$B$2:$B$67,0),MATCH($D26,'SUNY Excels Dashboard'!$B$2:$U$2,0))</f>
        <v>3780</v>
      </c>
      <c r="F26" s="581" t="str">
        <f>IF(RIGHT($D$19,4)="year",C26,RIGHT(D26,4))</f>
        <v>2012</v>
      </c>
      <c r="G26" s="621">
        <f t="shared" si="0"/>
        <v>3780</v>
      </c>
      <c r="H26" s="622" t="s">
        <v>187</v>
      </c>
      <c r="I26" s="622"/>
      <c r="J26" s="622"/>
      <c r="L26" s="584" t="s">
        <v>67</v>
      </c>
      <c r="M26" s="584" t="s">
        <v>52</v>
      </c>
      <c r="N26" s="586">
        <f>INDEX('SUNY Excels Dashboard'!$B$2:$U$67,MATCH(M14,'SUNY Excels Dashboard'!$B$2:$B$67,0),MATCH($D26,'SUNY Excels Dashboard'!$B$2:$U$2,0))</f>
        <v>0.22301587301587303</v>
      </c>
      <c r="O26" s="581" t="str">
        <f t="shared" si="3"/>
        <v>2012</v>
      </c>
      <c r="P26" s="581">
        <f t="shared" si="1"/>
        <v>0.22301587301587303</v>
      </c>
      <c r="Q26" s="623">
        <v>0.39700000000000002</v>
      </c>
      <c r="R26" s="584" t="s">
        <v>67</v>
      </c>
      <c r="S26" s="584" t="s">
        <v>52</v>
      </c>
      <c r="T26" s="586">
        <f>INDEX('SUNY Excels Dashboard'!$B$2:$U$67,MATCH(S14,'SUNY Excels Dashboard'!$B$2:$B$67,0),MATCH($D26,'SUNY Excels Dashboard'!$B$2:$U$2,0))</f>
        <v>260</v>
      </c>
      <c r="U26" s="581" t="str">
        <f t="shared" si="4"/>
        <v>2012</v>
      </c>
      <c r="V26" s="581">
        <f t="shared" si="2"/>
        <v>260</v>
      </c>
      <c r="W26" s="622" t="s">
        <v>187</v>
      </c>
      <c r="Y26" s="574"/>
      <c r="Z26" s="574"/>
      <c r="AA26" s="574"/>
      <c r="AB26" s="574"/>
      <c r="AC26" s="575"/>
      <c r="AD26" s="575"/>
      <c r="AE26" s="575"/>
      <c r="AF26" s="575"/>
      <c r="AG26" s="575"/>
      <c r="AH26" s="575"/>
      <c r="AI26" s="575"/>
      <c r="AJ26" s="575"/>
      <c r="AK26" s="575"/>
      <c r="AL26" s="575"/>
      <c r="AM26" s="575"/>
      <c r="AN26" s="575"/>
      <c r="AO26" s="575"/>
      <c r="AP26" s="574"/>
      <c r="AQ26" s="574"/>
    </row>
    <row r="27" spans="1:43">
      <c r="C27" s="584" t="s">
        <v>68</v>
      </c>
      <c r="D27" s="584" t="s">
        <v>53</v>
      </c>
      <c r="E27" s="586">
        <f>INDEX('SUNY Excels Dashboard'!$B$2:$U$67,MATCH(D14,'SUNY Excels Dashboard'!$B$2:$B$67,0),MATCH($D27,'SUNY Excels Dashboard'!$B$2:$U$2,0))</f>
        <v>3512</v>
      </c>
      <c r="F27" s="581" t="str">
        <f t="shared" ref="F27:F31" si="5">IF(RIGHT($D$19,4)="year",C27,RIGHT(D27,4))</f>
        <v>2013</v>
      </c>
      <c r="G27" s="621">
        <f t="shared" si="0"/>
        <v>3512</v>
      </c>
      <c r="H27" s="622" t="s">
        <v>187</v>
      </c>
      <c r="I27" s="622"/>
      <c r="J27" s="622"/>
      <c r="L27" s="584" t="s">
        <v>68</v>
      </c>
      <c r="M27" s="584" t="s">
        <v>53</v>
      </c>
      <c r="N27" s="586">
        <f>INDEX('SUNY Excels Dashboard'!$B$2:$U$67,MATCH(M14,'SUNY Excels Dashboard'!$B$2:$B$67,0),MATCH($D27,'SUNY Excels Dashboard'!$B$2:$U$2,0))</f>
        <v>0.24259681093394078</v>
      </c>
      <c r="O27" s="581" t="str">
        <f t="shared" si="3"/>
        <v>2013</v>
      </c>
      <c r="P27" s="581">
        <f t="shared" si="1"/>
        <v>0.24259681093394078</v>
      </c>
      <c r="Q27" s="622"/>
      <c r="R27" s="584" t="s">
        <v>68</v>
      </c>
      <c r="S27" s="584" t="s">
        <v>53</v>
      </c>
      <c r="T27" s="586">
        <f>INDEX('SUNY Excels Dashboard'!$B$2:$U$67,MATCH(S14,'SUNY Excels Dashboard'!$B$2:$B$67,0),MATCH($D27,'SUNY Excels Dashboard'!$B$2:$U$2,0))</f>
        <v>245</v>
      </c>
      <c r="U27" s="581" t="str">
        <f t="shared" si="4"/>
        <v>2013</v>
      </c>
      <c r="V27" s="581">
        <f t="shared" si="2"/>
        <v>245</v>
      </c>
      <c r="W27" s="622" t="s">
        <v>187</v>
      </c>
      <c r="Y27" s="574"/>
      <c r="Z27" s="574"/>
      <c r="AA27" s="574"/>
      <c r="AB27" s="574"/>
      <c r="AC27" s="575"/>
      <c r="AD27" s="575"/>
      <c r="AE27" s="575"/>
      <c r="AF27" s="575"/>
      <c r="AG27" s="575"/>
      <c r="AH27" s="575"/>
      <c r="AI27" s="575"/>
      <c r="AJ27" s="575"/>
      <c r="AK27" s="575"/>
      <c r="AL27" s="575"/>
      <c r="AM27" s="575"/>
      <c r="AN27" s="575"/>
      <c r="AO27" s="575"/>
      <c r="AP27" s="574"/>
      <c r="AQ27" s="574"/>
    </row>
    <row r="28" spans="1:43">
      <c r="C28" s="587" t="s">
        <v>508</v>
      </c>
      <c r="D28" s="587" t="s">
        <v>261</v>
      </c>
      <c r="E28" s="588">
        <f>INDEX('SUNY Excels Dashboard'!$B$2:$U$67,MATCH(D14,'SUNY Excels Dashboard'!$B$2:$B$67,0),MATCH($D28,'SUNY Excels Dashboard'!$B$2:$U$2,0))</f>
        <v>3282</v>
      </c>
      <c r="F28" s="581" t="str">
        <f t="shared" si="5"/>
        <v>2014</v>
      </c>
      <c r="G28" s="621">
        <f>IF(OR(+E28="-",+E28="n/a",+E28=""),NA(),E28)</f>
        <v>3282</v>
      </c>
      <c r="H28" s="622" t="s">
        <v>187</v>
      </c>
      <c r="I28" s="622"/>
      <c r="J28" s="622"/>
      <c r="L28" s="587" t="s">
        <v>508</v>
      </c>
      <c r="M28" s="587" t="s">
        <v>261</v>
      </c>
      <c r="N28" s="588">
        <f>INDEX('SUNY Excels Dashboard'!$B$2:$U$67,MATCH(M14,'SUNY Excels Dashboard'!$B$2:$B$67,0),MATCH($D28,'SUNY Excels Dashboard'!$B$2:$U$2,0))</f>
        <v>0.26477757464960389</v>
      </c>
      <c r="O28" s="581" t="str">
        <f t="shared" si="3"/>
        <v>2014</v>
      </c>
      <c r="P28" s="581">
        <f t="shared" si="1"/>
        <v>0.26477757464960389</v>
      </c>
      <c r="Q28" s="622"/>
      <c r="R28" s="587" t="s">
        <v>508</v>
      </c>
      <c r="S28" s="587" t="s">
        <v>261</v>
      </c>
      <c r="T28" s="588">
        <f>INDEX('SUNY Excels Dashboard'!$B$2:$U$67,MATCH(S14,'SUNY Excels Dashboard'!$B$2:$B$67,0),MATCH($D28,'SUNY Excels Dashboard'!$B$2:$U$2,0))</f>
        <v>231</v>
      </c>
      <c r="U28" s="581" t="str">
        <f t="shared" si="4"/>
        <v>2014</v>
      </c>
      <c r="V28" s="581">
        <f t="shared" si="2"/>
        <v>231</v>
      </c>
      <c r="W28" s="622" t="s">
        <v>187</v>
      </c>
      <c r="Y28" s="574"/>
      <c r="Z28" s="574"/>
      <c r="AA28" s="574"/>
      <c r="AB28" s="574"/>
      <c r="AC28" s="575"/>
      <c r="AD28" s="575"/>
      <c r="AE28" s="575"/>
      <c r="AF28" s="575"/>
      <c r="AG28" s="575"/>
      <c r="AH28" s="575"/>
      <c r="AI28" s="575"/>
      <c r="AJ28" s="575"/>
      <c r="AK28" s="575"/>
      <c r="AL28" s="575"/>
      <c r="AM28" s="575"/>
      <c r="AN28" s="575"/>
      <c r="AO28" s="575"/>
      <c r="AP28" s="574"/>
      <c r="AQ28" s="574"/>
    </row>
    <row r="29" spans="1:43" hidden="1">
      <c r="C29" s="589" t="s">
        <v>593</v>
      </c>
      <c r="D29" s="589" t="s">
        <v>224</v>
      </c>
      <c r="E29" s="590" t="e">
        <f>INDEX('SUNY Excels Dashboard'!$B$2:$U$67,MATCH(D14,'SUNY Excels Dashboard'!$B$2:$B$67,0),MATCH($D29,'SUNY Excels Dashboard'!$B$2:$U$2,0))</f>
        <v>#N/A</v>
      </c>
      <c r="F29" s="581" t="str">
        <f t="shared" si="5"/>
        <v>2015</v>
      </c>
      <c r="G29" s="581" t="e">
        <f t="shared" ref="G29:G31" si="6">IF(OR(+E29="-",+E29=""),NA(),E29)</f>
        <v>#N/A</v>
      </c>
      <c r="L29" s="589" t="s">
        <v>593</v>
      </c>
      <c r="M29" s="589" t="s">
        <v>224</v>
      </c>
      <c r="N29" s="590" t="e">
        <f>INDEX('SUNY Excels Dashboard'!$B$2:$U$67,MATCH(M14,'SUNY Excels Dashboard'!$B$2:$B$67,0),MATCH($D29,'SUNY Excels Dashboard'!$B$2:$U$2,0))</f>
        <v>#N/A</v>
      </c>
      <c r="O29" s="581" t="str">
        <f t="shared" si="3"/>
        <v>2015</v>
      </c>
      <c r="P29" s="581" t="e">
        <f t="shared" si="1"/>
        <v>#N/A</v>
      </c>
      <c r="R29" s="589" t="s">
        <v>593</v>
      </c>
      <c r="S29" s="589" t="s">
        <v>224</v>
      </c>
      <c r="T29" s="590" t="e">
        <f>INDEX('SUNY Excels Dashboard'!$B$2:$U$67,MATCH(S14,'SUNY Excels Dashboard'!$B$2:$B$67,0),MATCH($D29,'SUNY Excels Dashboard'!$B$2:$U$2,0))</f>
        <v>#N/A</v>
      </c>
      <c r="U29" s="581" t="str">
        <f t="shared" si="4"/>
        <v>2015</v>
      </c>
      <c r="V29" s="581" t="e">
        <f t="shared" si="2"/>
        <v>#N/A</v>
      </c>
      <c r="Y29" s="574"/>
      <c r="Z29" s="574"/>
      <c r="AA29" s="574"/>
      <c r="AB29" s="574"/>
      <c r="AC29" s="575"/>
      <c r="AD29" s="575"/>
      <c r="AE29" s="575"/>
      <c r="AF29" s="575"/>
      <c r="AG29" s="575"/>
      <c r="AH29" s="575"/>
      <c r="AI29" s="575"/>
      <c r="AJ29" s="575"/>
      <c r="AK29" s="575"/>
      <c r="AL29" s="575"/>
      <c r="AM29" s="575"/>
      <c r="AN29" s="575"/>
      <c r="AO29" s="575"/>
      <c r="AP29" s="574"/>
      <c r="AQ29" s="574"/>
    </row>
    <row r="30" spans="1:43" hidden="1">
      <c r="C30" s="589" t="s">
        <v>617</v>
      </c>
      <c r="D30" s="589" t="s">
        <v>257</v>
      </c>
      <c r="E30" s="590">
        <f>INDEX('SUNY Excels Dashboard'!$B$2:$U$67,MATCH(D14,'SUNY Excels Dashboard'!$B$2:$B$67,0),MATCH($D30,'SUNY Excels Dashboard'!$B$2:$U$2,0))</f>
        <v>3600</v>
      </c>
      <c r="F30" s="581" t="str">
        <f t="shared" si="5"/>
        <v>2018</v>
      </c>
      <c r="G30" s="581">
        <f t="shared" si="6"/>
        <v>3600</v>
      </c>
      <c r="L30" s="589" t="s">
        <v>617</v>
      </c>
      <c r="M30" s="589" t="s">
        <v>257</v>
      </c>
      <c r="N30" s="590">
        <f>INDEX('SUNY Excels Dashboard'!$B$2:$U$67,MATCH(M14,'SUNY Excels Dashboard'!$B$2:$B$67,0),MATCH($D30,'SUNY Excels Dashboard'!$B$2:$U$2,0))</f>
        <v>0</v>
      </c>
      <c r="O30" s="581" t="str">
        <f t="shared" si="3"/>
        <v>2018</v>
      </c>
      <c r="P30" s="581">
        <f>IF(+N30="-",NA(),N30)</f>
        <v>0</v>
      </c>
      <c r="R30" s="589" t="s">
        <v>617</v>
      </c>
      <c r="S30" s="589" t="s">
        <v>257</v>
      </c>
      <c r="T30" s="590">
        <f>INDEX('SUNY Excels Dashboard'!$B$2:$U$67,MATCH(S14,'SUNY Excels Dashboard'!$B$2:$B$67,0),MATCH($D30,'SUNY Excels Dashboard'!$B$2:$U$2,0))</f>
        <v>245</v>
      </c>
      <c r="U30" s="581" t="str">
        <f t="shared" si="4"/>
        <v>2018</v>
      </c>
      <c r="V30" s="581">
        <f>IF(+T30="-",NA(),T30)</f>
        <v>245</v>
      </c>
      <c r="Y30" s="574"/>
      <c r="Z30" s="574"/>
      <c r="AA30" s="574"/>
      <c r="AB30" s="574"/>
      <c r="AC30" s="575"/>
      <c r="AD30" s="575"/>
      <c r="AE30" s="575"/>
      <c r="AF30" s="575"/>
      <c r="AG30" s="575"/>
      <c r="AH30" s="575"/>
      <c r="AI30" s="575"/>
      <c r="AJ30" s="575"/>
      <c r="AK30" s="575"/>
      <c r="AL30" s="575"/>
      <c r="AM30" s="575"/>
      <c r="AN30" s="575"/>
      <c r="AO30" s="575"/>
      <c r="AP30" s="574"/>
      <c r="AQ30" s="574"/>
    </row>
    <row r="31" spans="1:43" hidden="1">
      <c r="C31" s="589" t="s">
        <v>618</v>
      </c>
      <c r="D31" s="589" t="s">
        <v>226</v>
      </c>
      <c r="E31" s="590">
        <f>INDEX('SUNY Excels Dashboard'!$B$2:$U$67,MATCH(D14,'SUNY Excels Dashboard'!$B$2:$B$67,0),MATCH($D31,'SUNY Excels Dashboard'!$B$2:$U$2,0))</f>
        <v>3800</v>
      </c>
      <c r="F31" s="581" t="str">
        <f t="shared" si="5"/>
        <v>2020</v>
      </c>
      <c r="G31" s="581">
        <f t="shared" si="6"/>
        <v>3800</v>
      </c>
      <c r="L31" s="589" t="s">
        <v>618</v>
      </c>
      <c r="M31" s="589" t="s">
        <v>226</v>
      </c>
      <c r="N31" s="590">
        <f>INDEX('SUNY Excels Dashboard'!$B$2:$U$67,MATCH(M14,'SUNY Excels Dashboard'!$B$2:$B$67,0),MATCH($D31,'SUNY Excels Dashboard'!$B$2:$U$2,0))</f>
        <v>0</v>
      </c>
      <c r="O31" s="581" t="str">
        <f t="shared" si="3"/>
        <v>2020</v>
      </c>
      <c r="P31" s="581">
        <f t="shared" ref="P31" si="7">IF(+N31="-",NA(),N31)</f>
        <v>0</v>
      </c>
      <c r="R31" s="589" t="s">
        <v>618</v>
      </c>
      <c r="S31" s="589" t="s">
        <v>226</v>
      </c>
      <c r="T31" s="590">
        <f>INDEX('SUNY Excels Dashboard'!$B$2:$U$67,MATCH(S14,'SUNY Excels Dashboard'!$B$2:$B$67,0),MATCH($D31,'SUNY Excels Dashboard'!$B$2:$U$2,0))</f>
        <v>245</v>
      </c>
      <c r="U31" s="581" t="str">
        <f t="shared" si="4"/>
        <v>2020</v>
      </c>
      <c r="V31" s="581">
        <f t="shared" ref="V31" si="8">IF(+T31="-",NA(),T31)</f>
        <v>245</v>
      </c>
      <c r="Y31" s="574"/>
      <c r="Z31" s="574"/>
      <c r="AA31" s="574"/>
      <c r="AB31" s="574"/>
      <c r="AC31" s="575"/>
      <c r="AD31" s="575"/>
      <c r="AE31" s="575"/>
      <c r="AF31" s="575"/>
      <c r="AG31" s="575"/>
      <c r="AH31" s="575"/>
      <c r="AI31" s="575"/>
      <c r="AJ31" s="575"/>
      <c r="AK31" s="575"/>
      <c r="AL31" s="575"/>
      <c r="AM31" s="575"/>
      <c r="AN31" s="575"/>
      <c r="AO31" s="575"/>
      <c r="AP31" s="574"/>
      <c r="AQ31" s="574"/>
    </row>
    <row r="32" spans="1:43">
      <c r="Y32" s="574"/>
      <c r="Z32" s="574"/>
      <c r="AA32" s="574"/>
      <c r="AB32" s="574"/>
      <c r="AC32" s="575"/>
      <c r="AD32" s="575"/>
      <c r="AE32" s="575"/>
      <c r="AF32" s="575"/>
      <c r="AG32" s="575"/>
      <c r="AH32" s="575"/>
      <c r="AI32" s="575"/>
      <c r="AJ32" s="575"/>
      <c r="AK32" s="575"/>
      <c r="AL32" s="575"/>
      <c r="AM32" s="575"/>
      <c r="AN32" s="575"/>
      <c r="AO32" s="575"/>
      <c r="AP32" s="574"/>
      <c r="AQ32" s="574"/>
    </row>
    <row r="33" spans="2:43">
      <c r="Y33" s="574"/>
      <c r="Z33" s="574"/>
      <c r="AA33" s="574"/>
      <c r="AB33" s="574"/>
      <c r="AC33" s="575"/>
      <c r="AD33" s="575"/>
      <c r="AE33" s="575"/>
      <c r="AF33" s="575"/>
      <c r="AG33" s="575"/>
      <c r="AH33" s="575"/>
      <c r="AI33" s="575"/>
      <c r="AJ33" s="575"/>
      <c r="AK33" s="575"/>
      <c r="AL33" s="575"/>
      <c r="AM33" s="575"/>
      <c r="AN33" s="575"/>
      <c r="AO33" s="575"/>
      <c r="AP33" s="574"/>
      <c r="AQ33" s="574"/>
    </row>
    <row r="34" spans="2:43" ht="44.25" customHeight="1">
      <c r="Y34" s="574"/>
      <c r="Z34" s="574"/>
      <c r="AA34" s="574"/>
      <c r="AB34" s="574"/>
      <c r="AC34" s="575"/>
      <c r="AD34" s="575"/>
      <c r="AE34" s="575"/>
      <c r="AF34" s="575"/>
      <c r="AG34" s="575"/>
      <c r="AH34" s="575"/>
      <c r="AI34" s="575"/>
      <c r="AJ34" s="575"/>
      <c r="AK34" s="575"/>
      <c r="AL34" s="575"/>
      <c r="AM34" s="575"/>
      <c r="AN34" s="575"/>
      <c r="AO34" s="575"/>
      <c r="AP34" s="574"/>
      <c r="AQ34" s="574"/>
    </row>
    <row r="35" spans="2:43">
      <c r="C35" s="583" t="s">
        <v>225</v>
      </c>
      <c r="D35" s="585">
        <f>+D4</f>
        <v>17</v>
      </c>
      <c r="L35" s="583" t="s">
        <v>225</v>
      </c>
      <c r="M35" s="585">
        <f>+M4</f>
        <v>15</v>
      </c>
      <c r="R35" s="583" t="s">
        <v>225</v>
      </c>
      <c r="S35" s="585">
        <f>+S4</f>
        <v>16</v>
      </c>
      <c r="Y35" s="574"/>
      <c r="Z35" s="574"/>
      <c r="AA35" s="574"/>
      <c r="AB35" s="574"/>
      <c r="AC35" s="575"/>
      <c r="AD35" s="575"/>
      <c r="AE35" s="575"/>
      <c r="AF35" s="575"/>
      <c r="AG35" s="575"/>
      <c r="AH35" s="575"/>
      <c r="AI35" s="575"/>
      <c r="AJ35" s="575"/>
      <c r="AK35" s="575"/>
      <c r="AL35" s="575"/>
      <c r="AM35" s="575"/>
      <c r="AN35" s="575"/>
      <c r="AO35" s="575"/>
      <c r="AP35" s="574"/>
      <c r="AQ35" s="574"/>
    </row>
    <row r="36" spans="2:43">
      <c r="B36" s="578">
        <v>3</v>
      </c>
      <c r="C36" s="581" t="s">
        <v>602</v>
      </c>
      <c r="D36" s="581" t="str">
        <f>VLOOKUP($D$35,'SUNY Excels Dashboard'!$B:$U,B36,0)</f>
        <v>Completion</v>
      </c>
      <c r="L36" s="581" t="s">
        <v>602</v>
      </c>
      <c r="M36" s="581" t="str">
        <f>VLOOKUP($M$35,'SUNY Excels Dashboard'!$B:$U,B36,0)</f>
        <v>Completion</v>
      </c>
      <c r="R36" s="581" t="s">
        <v>602</v>
      </c>
      <c r="S36" s="581" t="str">
        <f>VLOOKUP(S35,'SUNY Excels Dashboard'!$B:$U,$B36,0)</f>
        <v>Completion</v>
      </c>
      <c r="Y36" s="574"/>
      <c r="Z36" s="574"/>
      <c r="AA36" s="574"/>
      <c r="AB36" s="574"/>
      <c r="AC36" s="575"/>
      <c r="AD36" s="575"/>
      <c r="AE36" s="575"/>
      <c r="AF36" s="575"/>
      <c r="AG36" s="575"/>
      <c r="AH36" s="575"/>
      <c r="AI36" s="575"/>
      <c r="AJ36" s="575"/>
      <c r="AK36" s="575"/>
      <c r="AL36" s="575"/>
      <c r="AM36" s="575"/>
      <c r="AN36" s="575"/>
      <c r="AO36" s="575"/>
      <c r="AP36" s="574"/>
      <c r="AQ36" s="574"/>
    </row>
    <row r="37" spans="2:43">
      <c r="B37" s="578">
        <v>10</v>
      </c>
      <c r="C37" s="581" t="s">
        <v>600</v>
      </c>
      <c r="D37" s="581" t="str">
        <f>VLOOKUP($D$35,'SUNY Excels Dashboard'!$B:$U,B37,0)</f>
        <v>Total Degrees Awarded</v>
      </c>
      <c r="L37" s="581" t="s">
        <v>600</v>
      </c>
      <c r="M37" s="581" t="str">
        <f>VLOOKUP($M$35,'SUNY Excels Dashboard'!$B:$U,B37,0)</f>
        <v>3-year Associate Graduation Rate</v>
      </c>
      <c r="R37" s="581" t="s">
        <v>600</v>
      </c>
      <c r="S37" s="581" t="str">
        <f>VLOOKUP(S35,'SUNY Excels Dashboard'!$B:$U,$B37,0)</f>
        <v>6-year Baccalaureate Graduation Rate</v>
      </c>
      <c r="Y37" s="574"/>
      <c r="Z37" s="574"/>
      <c r="AA37" s="574"/>
      <c r="AB37" s="574"/>
      <c r="AC37" s="575"/>
      <c r="AD37" s="575"/>
      <c r="AE37" s="575"/>
      <c r="AF37" s="575"/>
      <c r="AG37" s="575"/>
      <c r="AH37" s="575"/>
      <c r="AI37" s="575"/>
      <c r="AJ37" s="575"/>
      <c r="AK37" s="575"/>
      <c r="AL37" s="575"/>
      <c r="AM37" s="575"/>
      <c r="AN37" s="575"/>
      <c r="AO37" s="575"/>
      <c r="AP37" s="574"/>
      <c r="AQ37" s="574"/>
    </row>
    <row r="38" spans="2:43">
      <c r="B38" s="578">
        <v>4</v>
      </c>
      <c r="C38" s="581" t="s">
        <v>608</v>
      </c>
      <c r="D38" s="581" t="str">
        <f>VLOOKUP($D$35,'SUNY Excels Dashboard'!$B:$U,B38,0)</f>
        <v>#,###</v>
      </c>
      <c r="L38" s="581" t="s">
        <v>608</v>
      </c>
      <c r="M38" s="581" t="str">
        <f>VLOOKUP($M$35,'SUNY Excels Dashboard'!$B:$U,B38,0)</f>
        <v>0.0%</v>
      </c>
      <c r="R38" s="581" t="s">
        <v>608</v>
      </c>
      <c r="S38" s="581" t="str">
        <f>VLOOKUP(S35,'SUNY Excels Dashboard'!$B:$U,$B38,0)</f>
        <v>0.0%</v>
      </c>
      <c r="Y38" s="574"/>
      <c r="Z38" s="574"/>
      <c r="AA38" s="574"/>
      <c r="AB38" s="574"/>
      <c r="AC38" s="575"/>
      <c r="AD38" s="575"/>
      <c r="AE38" s="575"/>
      <c r="AF38" s="575"/>
      <c r="AG38" s="575"/>
      <c r="AH38" s="575"/>
      <c r="AI38" s="575"/>
      <c r="AJ38" s="575"/>
      <c r="AK38" s="575"/>
      <c r="AL38" s="575"/>
      <c r="AM38" s="575"/>
      <c r="AN38" s="575"/>
      <c r="AO38" s="575"/>
      <c r="AP38" s="574"/>
      <c r="AQ38" s="574"/>
    </row>
    <row r="39" spans="2:43">
      <c r="B39" s="578">
        <v>6</v>
      </c>
      <c r="C39" s="581" t="s">
        <v>621</v>
      </c>
      <c r="D39" s="591" t="str">
        <f>VLOOKUP($D$35,'SUNY Excels Dashboard'!$B:$U,B39,0)</f>
        <v>bar, with legend</v>
      </c>
      <c r="L39" s="581" t="s">
        <v>621</v>
      </c>
      <c r="M39" s="591" t="str">
        <f>VLOOKUP($M$35,'SUNY Excels Dashboard'!$B:$U,B39,0)</f>
        <v>line</v>
      </c>
      <c r="R39" s="581" t="s">
        <v>621</v>
      </c>
      <c r="S39" s="591" t="str">
        <f>VLOOKUP(S35,'SUNY Excels Dashboard'!$B:$U,$B39,0)</f>
        <v>line</v>
      </c>
      <c r="Y39" s="574"/>
      <c r="Z39" s="574"/>
      <c r="AA39" s="574"/>
      <c r="AB39" s="574"/>
      <c r="AC39" s="575"/>
      <c r="AD39" s="575"/>
      <c r="AE39" s="575"/>
      <c r="AF39" s="575"/>
      <c r="AG39" s="575"/>
      <c r="AH39" s="575"/>
      <c r="AI39" s="575"/>
      <c r="AJ39" s="575"/>
      <c r="AK39" s="575"/>
      <c r="AL39" s="575"/>
      <c r="AM39" s="575"/>
      <c r="AN39" s="575"/>
      <c r="AO39" s="575"/>
      <c r="AP39" s="574"/>
      <c r="AQ39" s="574"/>
    </row>
    <row r="40" spans="2:43">
      <c r="B40" s="578">
        <v>5</v>
      </c>
      <c r="C40" s="581" t="s">
        <v>613</v>
      </c>
      <c r="D40" s="581" t="str">
        <f>VLOOKUP($D$35,'SUNY Excels Dashboard'!$B:$U,B40,0)</f>
        <v>Academic Year</v>
      </c>
      <c r="L40" s="581" t="s">
        <v>613</v>
      </c>
      <c r="M40" s="581" t="str">
        <f>VLOOKUP($M$35,'SUNY Excels Dashboard'!$B:$U,B40,0)</f>
        <v>Academic Year</v>
      </c>
      <c r="R40" s="581" t="s">
        <v>613</v>
      </c>
      <c r="S40" s="581" t="str">
        <f>VLOOKUP(S35,'SUNY Excels Dashboard'!$B:$U,$B40,0)</f>
        <v>Academic Year</v>
      </c>
      <c r="Y40" s="574"/>
      <c r="Z40" s="574"/>
      <c r="AA40" s="574"/>
      <c r="AB40" s="574"/>
      <c r="AC40" s="575"/>
      <c r="AD40" s="575"/>
      <c r="AE40" s="575"/>
      <c r="AF40" s="575"/>
      <c r="AG40" s="575"/>
      <c r="AH40" s="575"/>
      <c r="AI40" s="575"/>
      <c r="AJ40" s="575"/>
      <c r="AK40" s="575"/>
      <c r="AL40" s="575"/>
      <c r="AM40" s="575"/>
      <c r="AN40" s="575"/>
      <c r="AO40" s="575"/>
      <c r="AP40" s="574"/>
      <c r="AQ40" s="574"/>
    </row>
    <row r="41" spans="2:43">
      <c r="C41" s="581" t="s">
        <v>606</v>
      </c>
      <c r="D41" s="581" t="str">
        <f>+D36&amp;CHAR(10)&amp;D37</f>
        <v>Completion
Total Degrees Awarded</v>
      </c>
      <c r="L41" s="581" t="s">
        <v>606</v>
      </c>
      <c r="M41" s="581" t="str">
        <f>+M36&amp;CHAR(10)&amp;M37</f>
        <v>Completion
3-year Associate Graduation Rate</v>
      </c>
      <c r="R41" s="581" t="s">
        <v>606</v>
      </c>
      <c r="S41" s="581" t="str">
        <f>+S36&amp;CHAR(10)&amp;S37</f>
        <v>Completion
6-year Baccalaureate Graduation Rate</v>
      </c>
      <c r="Y41" s="574"/>
      <c r="Z41" s="574"/>
      <c r="AA41" s="574"/>
      <c r="AB41" s="574"/>
      <c r="AC41" s="575"/>
      <c r="AD41" s="575"/>
      <c r="AE41" s="575"/>
      <c r="AF41" s="575"/>
      <c r="AG41" s="575"/>
      <c r="AH41" s="575"/>
      <c r="AI41" s="575"/>
      <c r="AJ41" s="575"/>
      <c r="AK41" s="575"/>
      <c r="AL41" s="575"/>
      <c r="AM41" s="575"/>
      <c r="AN41" s="575"/>
      <c r="AO41" s="575"/>
      <c r="AP41" s="574"/>
      <c r="AQ41" s="574"/>
    </row>
    <row r="42" spans="2:43">
      <c r="C42" s="584"/>
      <c r="D42" s="584"/>
      <c r="L42" s="584"/>
      <c r="M42" s="584"/>
      <c r="R42" s="584"/>
      <c r="S42" s="584"/>
      <c r="Y42" s="574"/>
      <c r="Z42" s="574"/>
      <c r="AA42" s="574"/>
      <c r="AB42" s="574"/>
      <c r="AC42" s="575"/>
      <c r="AD42" s="575"/>
      <c r="AE42" s="575"/>
      <c r="AF42" s="575"/>
      <c r="AG42" s="575"/>
      <c r="AH42" s="575"/>
      <c r="AI42" s="575"/>
      <c r="AJ42" s="575"/>
      <c r="AK42" s="575"/>
      <c r="AL42" s="575"/>
      <c r="AM42" s="575"/>
      <c r="AN42" s="575"/>
      <c r="AO42" s="575"/>
      <c r="AP42" s="574"/>
      <c r="AQ42" s="574"/>
    </row>
    <row r="43" spans="2:43">
      <c r="C43" s="584"/>
      <c r="D43" s="584" t="s">
        <v>605</v>
      </c>
      <c r="E43" s="584" t="s">
        <v>607</v>
      </c>
      <c r="F43" s="581" t="s">
        <v>603</v>
      </c>
      <c r="G43" s="581" t="s">
        <v>604</v>
      </c>
      <c r="H43" s="620" t="s">
        <v>643</v>
      </c>
      <c r="L43" s="584"/>
      <c r="M43" s="584" t="s">
        <v>605</v>
      </c>
      <c r="N43" s="584" t="s">
        <v>607</v>
      </c>
      <c r="O43" s="581" t="s">
        <v>603</v>
      </c>
      <c r="P43" s="581" t="s">
        <v>604</v>
      </c>
      <c r="Q43" s="620" t="s">
        <v>643</v>
      </c>
      <c r="R43" s="584"/>
      <c r="S43" s="584" t="s">
        <v>605</v>
      </c>
      <c r="T43" s="584" t="s">
        <v>607</v>
      </c>
      <c r="U43" s="581" t="s">
        <v>603</v>
      </c>
      <c r="V43" s="581" t="s">
        <v>604</v>
      </c>
      <c r="W43" s="620" t="s">
        <v>643</v>
      </c>
      <c r="Y43" s="574"/>
      <c r="Z43" s="574"/>
      <c r="AA43" s="574"/>
      <c r="AB43" s="574"/>
      <c r="AC43" s="575"/>
      <c r="AD43" s="575"/>
      <c r="AE43" s="575"/>
      <c r="AF43" s="575"/>
      <c r="AG43" s="575"/>
      <c r="AH43" s="575"/>
      <c r="AI43" s="575"/>
      <c r="AJ43" s="575"/>
      <c r="AK43" s="575"/>
      <c r="AL43" s="575"/>
      <c r="AM43" s="575"/>
      <c r="AN43" s="575"/>
      <c r="AO43" s="575"/>
      <c r="AP43" s="574"/>
      <c r="AQ43" s="574"/>
    </row>
    <row r="44" spans="2:43">
      <c r="C44" s="584" t="s">
        <v>64</v>
      </c>
      <c r="D44" s="584" t="s">
        <v>49</v>
      </c>
      <c r="E44" s="586">
        <f>INDEX('SUNY Excels Dashboard'!$B$2:$U$67,MATCH(D35,'SUNY Excels Dashboard'!$B$2:$B$67,0),MATCH($D44,'SUNY Excels Dashboard'!$B$2:$U$2,0))</f>
        <v>633</v>
      </c>
      <c r="F44" s="581" t="str">
        <f>IF(RIGHT($D$19,4)="year",C44,RIGHT(D44,4))</f>
        <v>2009</v>
      </c>
      <c r="G44" s="624">
        <f t="shared" ref="G44:G48" si="9">IF(+E44="-",NA(),E44)</f>
        <v>633</v>
      </c>
      <c r="H44" s="622" t="s">
        <v>187</v>
      </c>
      <c r="I44" s="622"/>
      <c r="J44" s="622"/>
      <c r="L44" s="584" t="s">
        <v>64</v>
      </c>
      <c r="M44" s="584" t="s">
        <v>49</v>
      </c>
      <c r="N44" s="586">
        <f>INDEX('SUNY Excels Dashboard'!$B$2:$U$67,MATCH(M35,'SUNY Excels Dashboard'!$B$2:$B$67,0),MATCH($D44,'SUNY Excels Dashboard'!$B$2:$U$2,0))</f>
        <v>0.28652751423149903</v>
      </c>
      <c r="O44" s="581" t="str">
        <f>IF(RIGHT($D$19,4)="year",L44,RIGHT(M44,4))</f>
        <v>2009</v>
      </c>
      <c r="P44" s="581">
        <f t="shared" ref="P44:P52" si="10">IF(+N44="-",NA(),N44)</f>
        <v>0.28652751423149903</v>
      </c>
      <c r="Q44" s="623">
        <v>0.20599999999999999</v>
      </c>
      <c r="R44" s="584" t="s">
        <v>64</v>
      </c>
      <c r="S44" s="584" t="s">
        <v>49</v>
      </c>
      <c r="T44" s="586">
        <f>INDEX('SUNY Excels Dashboard'!$B$2:$U$67,MATCH(S35,'SUNY Excels Dashboard'!$B$2:$B$67,0),MATCH($D44,'SUNY Excels Dashboard'!$B$2:$U$2,0))</f>
        <v>0.39473684210526316</v>
      </c>
      <c r="U44" s="581" t="str">
        <f>IF(RIGHT($D$19,4)="year",R44,RIGHT(S44,4))</f>
        <v>2009</v>
      </c>
      <c r="V44" s="621">
        <f>IF(+T44="-",NA(),T44)</f>
        <v>0.39473684210526316</v>
      </c>
      <c r="W44" s="623">
        <v>0.55800000000000005</v>
      </c>
      <c r="Y44" s="574"/>
      <c r="Z44" s="574"/>
      <c r="AA44" s="574"/>
      <c r="AB44" s="574"/>
      <c r="AC44" s="575"/>
      <c r="AD44" s="575"/>
      <c r="AE44" s="575"/>
      <c r="AF44" s="575"/>
      <c r="AG44" s="575"/>
      <c r="AH44" s="575"/>
      <c r="AI44" s="575"/>
      <c r="AJ44" s="575"/>
      <c r="AK44" s="575"/>
      <c r="AL44" s="575"/>
      <c r="AM44" s="575"/>
      <c r="AN44" s="575"/>
      <c r="AO44" s="575"/>
      <c r="AP44" s="574"/>
      <c r="AQ44" s="574"/>
    </row>
    <row r="45" spans="2:43">
      <c r="C45" s="584" t="s">
        <v>65</v>
      </c>
      <c r="D45" s="584" t="s">
        <v>50</v>
      </c>
      <c r="E45" s="586">
        <f>INDEX('SUNY Excels Dashboard'!$B$2:$U$67,MATCH(D35,'SUNY Excels Dashboard'!$B$2:$B$67,0),MATCH($D45,'SUNY Excels Dashboard'!$B$2:$U$2,0))</f>
        <v>923</v>
      </c>
      <c r="F45" s="581" t="str">
        <f>IF(RIGHT($D$19,4)="year",C45,RIGHT(D45,4))</f>
        <v>2010</v>
      </c>
      <c r="G45" s="624">
        <f t="shared" si="9"/>
        <v>923</v>
      </c>
      <c r="H45" s="622" t="s">
        <v>187</v>
      </c>
      <c r="I45" s="622"/>
      <c r="J45" s="622"/>
      <c r="L45" s="584" t="s">
        <v>65</v>
      </c>
      <c r="M45" s="584" t="s">
        <v>50</v>
      </c>
      <c r="N45" s="586">
        <f>INDEX('SUNY Excels Dashboard'!$B$2:$U$67,MATCH(M35,'SUNY Excels Dashboard'!$B$2:$B$67,0),MATCH($D45,'SUNY Excels Dashboard'!$B$2:$U$2,0))</f>
        <v>0.24143556280587275</v>
      </c>
      <c r="O45" s="581" t="str">
        <f>IF(RIGHT($D$19,4)="year",L45,RIGHT(M45,4))</f>
        <v>2010</v>
      </c>
      <c r="P45" s="581">
        <f t="shared" si="10"/>
        <v>0.24143556280587275</v>
      </c>
      <c r="Q45" s="623">
        <v>0.20399999999999999</v>
      </c>
      <c r="R45" s="584" t="s">
        <v>65</v>
      </c>
      <c r="S45" s="584" t="s">
        <v>50</v>
      </c>
      <c r="T45" s="586">
        <f>INDEX('SUNY Excels Dashboard'!$B$2:$U$67,MATCH(S35,'SUNY Excels Dashboard'!$B$2:$B$67,0),MATCH($D45,'SUNY Excels Dashboard'!$B$2:$U$2,0))</f>
        <v>0.29729729729729731</v>
      </c>
      <c r="U45" s="581" t="str">
        <f>IF(RIGHT($D$19,4)="year",R45,RIGHT(S45,4))</f>
        <v>2010</v>
      </c>
      <c r="V45" s="621">
        <f t="shared" ref="V45:V52" si="11">IF(+T45="-",NA(),T45)</f>
        <v>0.29729729729729731</v>
      </c>
      <c r="W45" s="623">
        <v>0.56100000000000005</v>
      </c>
      <c r="Y45" s="574"/>
      <c r="Z45" s="574"/>
      <c r="AA45" s="574"/>
      <c r="AB45" s="574"/>
      <c r="AC45" s="575"/>
      <c r="AD45" s="575"/>
      <c r="AE45" s="575"/>
      <c r="AF45" s="575"/>
      <c r="AG45" s="575"/>
      <c r="AH45" s="575"/>
      <c r="AI45" s="575"/>
      <c r="AJ45" s="575"/>
      <c r="AK45" s="575"/>
      <c r="AL45" s="575"/>
      <c r="AM45" s="575"/>
      <c r="AN45" s="575"/>
      <c r="AO45" s="575"/>
      <c r="AP45" s="574"/>
      <c r="AQ45" s="574"/>
    </row>
    <row r="46" spans="2:43">
      <c r="C46" s="584" t="s">
        <v>66</v>
      </c>
      <c r="D46" s="584" t="s">
        <v>51</v>
      </c>
      <c r="E46" s="586">
        <f>INDEX('SUNY Excels Dashboard'!$B$2:$U$67,MATCH(D35,'SUNY Excels Dashboard'!$B$2:$B$67,0),MATCH($D46,'SUNY Excels Dashboard'!$B$2:$U$2,0))</f>
        <v>855</v>
      </c>
      <c r="F46" s="581" t="str">
        <f>IF(RIGHT($D$19,4)="year",C46,RIGHT(D46,4))</f>
        <v>2011</v>
      </c>
      <c r="G46" s="624">
        <f t="shared" si="9"/>
        <v>855</v>
      </c>
      <c r="H46" s="622" t="s">
        <v>187</v>
      </c>
      <c r="I46" s="622"/>
      <c r="J46" s="622"/>
      <c r="L46" s="584" t="s">
        <v>66</v>
      </c>
      <c r="M46" s="584" t="s">
        <v>51</v>
      </c>
      <c r="N46" s="586">
        <f>INDEX('SUNY Excels Dashboard'!$B$2:$U$67,MATCH(M35,'SUNY Excels Dashboard'!$B$2:$B$67,0),MATCH($D46,'SUNY Excels Dashboard'!$B$2:$U$2,0))</f>
        <v>0.26276276276276278</v>
      </c>
      <c r="O46" s="581" t="str">
        <f>IF(RIGHT($D$19,4)="year",L46,RIGHT(M46,4))</f>
        <v>2011</v>
      </c>
      <c r="P46" s="581">
        <f t="shared" si="10"/>
        <v>0.26276276276276278</v>
      </c>
      <c r="Q46" s="623">
        <v>0.20300000000000001</v>
      </c>
      <c r="R46" s="584" t="s">
        <v>66</v>
      </c>
      <c r="S46" s="584" t="s">
        <v>51</v>
      </c>
      <c r="T46" s="586">
        <f>INDEX('SUNY Excels Dashboard'!$B$2:$U$67,MATCH(S35,'SUNY Excels Dashboard'!$B$2:$B$67,0),MATCH($D46,'SUNY Excels Dashboard'!$B$2:$U$2,0))</f>
        <v>0.32142857142857145</v>
      </c>
      <c r="U46" s="581" t="str">
        <f>IF(RIGHT($D$19,4)="year",R46,RIGHT(S46,4))</f>
        <v>2011</v>
      </c>
      <c r="V46" s="621">
        <f t="shared" si="11"/>
        <v>0.32142857142857145</v>
      </c>
      <c r="W46" s="623">
        <v>0.56599999999999995</v>
      </c>
      <c r="Y46" s="574"/>
      <c r="Z46" s="574"/>
      <c r="AA46" s="574"/>
      <c r="AB46" s="574"/>
      <c r="AC46" s="575"/>
      <c r="AD46" s="575"/>
      <c r="AE46" s="575"/>
      <c r="AF46" s="575"/>
      <c r="AG46" s="575"/>
      <c r="AH46" s="575"/>
      <c r="AI46" s="575"/>
      <c r="AJ46" s="575"/>
      <c r="AK46" s="575"/>
      <c r="AL46" s="575"/>
      <c r="AM46" s="575"/>
      <c r="AN46" s="575"/>
      <c r="AO46" s="575"/>
      <c r="AP46" s="574"/>
      <c r="AQ46" s="574"/>
    </row>
    <row r="47" spans="2:43">
      <c r="C47" s="584" t="s">
        <v>67</v>
      </c>
      <c r="D47" s="584" t="s">
        <v>52</v>
      </c>
      <c r="E47" s="586">
        <f>INDEX('SUNY Excels Dashboard'!$B$2:$U$67,MATCH(D35,'SUNY Excels Dashboard'!$B$2:$B$67,0),MATCH($D47,'SUNY Excels Dashboard'!$B$2:$U$2,0))</f>
        <v>964</v>
      </c>
      <c r="F47" s="581" t="str">
        <f>IF(RIGHT($D$19,4)="year",C47,RIGHT(D47,4))</f>
        <v>2012</v>
      </c>
      <c r="G47" s="624">
        <f t="shared" si="9"/>
        <v>964</v>
      </c>
      <c r="H47" s="622" t="s">
        <v>187</v>
      </c>
      <c r="I47" s="622"/>
      <c r="J47" s="622"/>
      <c r="L47" s="584" t="s">
        <v>67</v>
      </c>
      <c r="M47" s="584" t="s">
        <v>52</v>
      </c>
      <c r="N47" s="586">
        <f>INDEX('SUNY Excels Dashboard'!$B$2:$U$67,MATCH(M35,'SUNY Excels Dashboard'!$B$2:$B$67,0),MATCH($D47,'SUNY Excels Dashboard'!$B$2:$U$2,0))</f>
        <v>0.26060606060606062</v>
      </c>
      <c r="O47" s="581" t="str">
        <f>IF(RIGHT($D$19,4)="year",L47,RIGHT(M47,4))</f>
        <v>2012</v>
      </c>
      <c r="P47" s="581">
        <f t="shared" si="10"/>
        <v>0.26060606060606062</v>
      </c>
      <c r="Q47" s="623">
        <v>0.20200000000000001</v>
      </c>
      <c r="R47" s="584" t="s">
        <v>67</v>
      </c>
      <c r="S47" s="584" t="s">
        <v>52</v>
      </c>
      <c r="T47" s="586">
        <f>INDEX('SUNY Excels Dashboard'!$B$2:$U$67,MATCH(S35,'SUNY Excels Dashboard'!$B$2:$B$67,0),MATCH($D47,'SUNY Excels Dashboard'!$B$2:$U$2,0))</f>
        <v>0.2857142857142857</v>
      </c>
      <c r="U47" s="581" t="str">
        <f>IF(RIGHT($D$19,4)="year",R47,RIGHT(S47,4))</f>
        <v>2012</v>
      </c>
      <c r="V47" s="621">
        <f t="shared" si="11"/>
        <v>0.2857142857142857</v>
      </c>
      <c r="W47" s="623">
        <v>0.57199999999999995</v>
      </c>
      <c r="Y47" s="574"/>
      <c r="Z47" s="574"/>
      <c r="AA47" s="574"/>
      <c r="AB47" s="574"/>
      <c r="AC47" s="575"/>
      <c r="AD47" s="575"/>
      <c r="AE47" s="575"/>
      <c r="AF47" s="575"/>
      <c r="AG47" s="575"/>
      <c r="AH47" s="575"/>
      <c r="AI47" s="575"/>
      <c r="AJ47" s="575"/>
      <c r="AK47" s="575"/>
      <c r="AL47" s="575"/>
      <c r="AM47" s="575"/>
      <c r="AN47" s="575"/>
      <c r="AO47" s="575"/>
      <c r="AP47" s="574"/>
      <c r="AQ47" s="574"/>
    </row>
    <row r="48" spans="2:43">
      <c r="C48" s="584" t="s">
        <v>68</v>
      </c>
      <c r="D48" s="584" t="s">
        <v>53</v>
      </c>
      <c r="E48" s="586">
        <f>INDEX('SUNY Excels Dashboard'!$B$2:$U$67,MATCH(D35,'SUNY Excels Dashboard'!$B$2:$B$67,0),MATCH($D48,'SUNY Excels Dashboard'!$B$2:$U$2,0))</f>
        <v>964</v>
      </c>
      <c r="F48" s="581" t="str">
        <f t="shared" ref="F48:F52" si="12">IF(RIGHT($D$19,4)="year",C48,RIGHT(D48,4))</f>
        <v>2013</v>
      </c>
      <c r="G48" s="624">
        <f t="shared" si="9"/>
        <v>964</v>
      </c>
      <c r="H48" s="622" t="s">
        <v>187</v>
      </c>
      <c r="I48" s="622"/>
      <c r="J48" s="622"/>
      <c r="L48" s="584" t="s">
        <v>68</v>
      </c>
      <c r="M48" s="584" t="s">
        <v>53</v>
      </c>
      <c r="N48" s="586">
        <f>INDEX('SUNY Excels Dashboard'!$B$2:$U$67,MATCH(M35,'SUNY Excels Dashboard'!$B$2:$B$67,0),MATCH($D48,'SUNY Excels Dashboard'!$B$2:$U$2,0))</f>
        <v>0.29129662522202487</v>
      </c>
      <c r="O48" s="581" t="str">
        <f t="shared" ref="O48:O52" si="13">IF(RIGHT($D$19,4)="year",L48,RIGHT(M48,4))</f>
        <v>2013</v>
      </c>
      <c r="P48" s="581">
        <f t="shared" si="10"/>
        <v>0.29129662522202487</v>
      </c>
      <c r="Q48" s="623">
        <v>0.19800000000000001</v>
      </c>
      <c r="R48" s="584" t="s">
        <v>68</v>
      </c>
      <c r="S48" s="584" t="s">
        <v>53</v>
      </c>
      <c r="T48" s="586">
        <f>INDEX('SUNY Excels Dashboard'!$B$2:$U$67,MATCH(S35,'SUNY Excels Dashboard'!$B$2:$B$67,0),MATCH($D48,'SUNY Excels Dashboard'!$B$2:$U$2,0))</f>
        <v>0.30666666666666664</v>
      </c>
      <c r="U48" s="581" t="str">
        <f t="shared" ref="U48:U52" si="14">IF(RIGHT($D$19,4)="year",R48,RIGHT(S48,4))</f>
        <v>2013</v>
      </c>
      <c r="V48" s="621">
        <f t="shared" si="11"/>
        <v>0.30666666666666664</v>
      </c>
      <c r="W48" s="623">
        <v>0.57699999999999996</v>
      </c>
      <c r="Y48" s="574"/>
      <c r="Z48" s="574"/>
      <c r="AA48" s="574"/>
      <c r="AB48" s="574"/>
      <c r="AC48" s="575"/>
      <c r="AD48" s="575"/>
      <c r="AE48" s="575"/>
      <c r="AF48" s="575"/>
      <c r="AG48" s="575"/>
      <c r="AH48" s="575"/>
      <c r="AI48" s="575"/>
      <c r="AJ48" s="575"/>
      <c r="AK48" s="575"/>
      <c r="AL48" s="575"/>
      <c r="AM48" s="575"/>
      <c r="AN48" s="575"/>
      <c r="AO48" s="575"/>
      <c r="AP48" s="574"/>
      <c r="AQ48" s="574"/>
    </row>
    <row r="49" spans="1:43">
      <c r="C49" s="587" t="s">
        <v>508</v>
      </c>
      <c r="D49" s="587" t="s">
        <v>261</v>
      </c>
      <c r="E49" s="588" t="str">
        <f>INDEX('SUNY Excels Dashboard'!$B$2:$U$67,MATCH(D35,'SUNY Excels Dashboard'!$B$2:$B$67,0),MATCH($D49,'SUNY Excels Dashboard'!$B$2:$U$2,0))</f>
        <v>-</v>
      </c>
      <c r="F49" s="581" t="str">
        <f t="shared" si="12"/>
        <v>2014</v>
      </c>
      <c r="G49" s="624" t="e">
        <f>IF(OR(+E49="-",+E49="n/a",+E49=""),NA(),E49)</f>
        <v>#N/A</v>
      </c>
      <c r="H49" s="622" t="s">
        <v>187</v>
      </c>
      <c r="I49" s="622"/>
      <c r="J49" s="622"/>
      <c r="L49" s="587" t="s">
        <v>508</v>
      </c>
      <c r="M49" s="587" t="s">
        <v>261</v>
      </c>
      <c r="N49" s="588" t="str">
        <f>INDEX('SUNY Excels Dashboard'!$B$2:$U$67,MATCH(M35,'SUNY Excels Dashboard'!$B$2:$B$67,0),MATCH($D49,'SUNY Excels Dashboard'!$B$2:$U$2,0))</f>
        <v>-</v>
      </c>
      <c r="O49" s="581" t="str">
        <f t="shared" si="13"/>
        <v>2014</v>
      </c>
      <c r="P49" s="581" t="e">
        <f t="shared" si="10"/>
        <v>#N/A</v>
      </c>
      <c r="Q49" s="623"/>
      <c r="R49" s="587" t="s">
        <v>508</v>
      </c>
      <c r="S49" s="587" t="s">
        <v>261</v>
      </c>
      <c r="T49" s="588" t="str">
        <f>INDEX('SUNY Excels Dashboard'!$B$2:$U$67,MATCH(S35,'SUNY Excels Dashboard'!$B$2:$B$67,0),MATCH($D49,'SUNY Excels Dashboard'!$B$2:$U$2,0))</f>
        <v>-</v>
      </c>
      <c r="U49" s="581" t="str">
        <f t="shared" si="14"/>
        <v>2014</v>
      </c>
      <c r="V49" s="621" t="e">
        <f t="shared" si="11"/>
        <v>#N/A</v>
      </c>
      <c r="W49" s="623"/>
      <c r="Y49" s="574"/>
      <c r="Z49" s="574"/>
      <c r="AA49" s="574"/>
      <c r="AB49" s="574"/>
      <c r="AC49" s="575"/>
      <c r="AD49" s="575"/>
      <c r="AE49" s="575"/>
      <c r="AF49" s="575"/>
      <c r="AG49" s="575"/>
      <c r="AH49" s="575"/>
      <c r="AI49" s="575"/>
      <c r="AJ49" s="575"/>
      <c r="AK49" s="575"/>
      <c r="AL49" s="575"/>
      <c r="AM49" s="575"/>
      <c r="AN49" s="575"/>
      <c r="AO49" s="575"/>
      <c r="AP49" s="574"/>
      <c r="AQ49" s="574"/>
    </row>
    <row r="50" spans="1:43" hidden="1">
      <c r="C50" s="589" t="s">
        <v>593</v>
      </c>
      <c r="D50" s="589" t="s">
        <v>224</v>
      </c>
      <c r="E50" s="590" t="e">
        <f>INDEX('SUNY Excels Dashboard'!$B$2:$U$67,MATCH(D35,'SUNY Excels Dashboard'!$B$2:$B$67,0),MATCH($D50,'SUNY Excels Dashboard'!$B$2:$U$2,0))</f>
        <v>#N/A</v>
      </c>
      <c r="F50" s="581" t="str">
        <f t="shared" si="12"/>
        <v>2015</v>
      </c>
      <c r="G50" s="581" t="e">
        <f t="shared" ref="G50" si="15">IF(OR(+E50="-",+E50=""),NA(),E50)</f>
        <v>#N/A</v>
      </c>
      <c r="L50" s="589" t="s">
        <v>593</v>
      </c>
      <c r="M50" s="589" t="s">
        <v>224</v>
      </c>
      <c r="N50" s="590" t="e">
        <f>INDEX('SUNY Excels Dashboard'!$B$2:$U$67,MATCH(M35,'SUNY Excels Dashboard'!$B$2:$B$67,0),MATCH($D50,'SUNY Excels Dashboard'!$B$2:$U$2,0))</f>
        <v>#N/A</v>
      </c>
      <c r="O50" s="581" t="str">
        <f t="shared" si="13"/>
        <v>2015</v>
      </c>
      <c r="P50" s="581" t="e">
        <f t="shared" si="10"/>
        <v>#N/A</v>
      </c>
      <c r="R50" s="589" t="s">
        <v>593</v>
      </c>
      <c r="S50" s="589" t="s">
        <v>224</v>
      </c>
      <c r="T50" s="590" t="e">
        <f>INDEX('SUNY Excels Dashboard'!$B$2:$U$67,MATCH(S35,'SUNY Excels Dashboard'!$B$2:$B$67,0),MATCH($D50,'SUNY Excels Dashboard'!$B$2:$U$2,0))</f>
        <v>#N/A</v>
      </c>
      <c r="U50" s="581" t="str">
        <f t="shared" si="14"/>
        <v>2015</v>
      </c>
      <c r="V50" s="581" t="e">
        <f t="shared" si="11"/>
        <v>#N/A</v>
      </c>
      <c r="Y50" s="574"/>
      <c r="Z50" s="574"/>
      <c r="AA50" s="574"/>
      <c r="AB50" s="574"/>
      <c r="AC50" s="575"/>
      <c r="AD50" s="575"/>
      <c r="AE50" s="575"/>
      <c r="AF50" s="575"/>
      <c r="AG50" s="575"/>
      <c r="AH50" s="575"/>
      <c r="AI50" s="575"/>
      <c r="AJ50" s="575"/>
      <c r="AK50" s="575"/>
      <c r="AL50" s="575"/>
      <c r="AM50" s="575"/>
      <c r="AN50" s="575"/>
      <c r="AO50" s="575"/>
      <c r="AP50" s="574"/>
      <c r="AQ50" s="574"/>
    </row>
    <row r="51" spans="1:43" hidden="1">
      <c r="C51" s="589" t="s">
        <v>617</v>
      </c>
      <c r="D51" s="589" t="s">
        <v>257</v>
      </c>
      <c r="E51" s="590">
        <f>INDEX('SUNY Excels Dashboard'!$B$2:$U$67,MATCH(D35,'SUNY Excels Dashboard'!$B$2:$B$67,0),MATCH($D51,'SUNY Excels Dashboard'!$B$2:$U$2,0))</f>
        <v>1145</v>
      </c>
      <c r="F51" s="581" t="str">
        <f t="shared" si="12"/>
        <v>2018</v>
      </c>
      <c r="G51" s="581">
        <f>IF(OR(+E51="-",+E51="",+E51=0),NA(),E51)</f>
        <v>1145</v>
      </c>
      <c r="L51" s="589" t="s">
        <v>617</v>
      </c>
      <c r="M51" s="589" t="s">
        <v>257</v>
      </c>
      <c r="N51" s="590">
        <f>INDEX('SUNY Excels Dashboard'!$B$2:$U$67,MATCH(M35,'SUNY Excels Dashboard'!$B$2:$B$67,0),MATCH($D51,'SUNY Excels Dashboard'!$B$2:$U$2,0))</f>
        <v>0.3</v>
      </c>
      <c r="O51" s="581" t="str">
        <f t="shared" si="13"/>
        <v>2018</v>
      </c>
      <c r="P51" s="581">
        <f t="shared" si="10"/>
        <v>0.3</v>
      </c>
      <c r="R51" s="589" t="s">
        <v>617</v>
      </c>
      <c r="S51" s="589" t="s">
        <v>257</v>
      </c>
      <c r="T51" s="590" t="e">
        <f>INDEX('SUNY Excels Dashboard'!$B$2:$U$67,MATCH(S40,'SUNY Excels Dashboard'!$B$2:$B$67,0),MATCH($D51,'SUNY Excels Dashboard'!$B$2:$U$2,0))</f>
        <v>#N/A</v>
      </c>
      <c r="U51" s="581" t="str">
        <f>IF(RIGHT($D$19,4)="year",R51,RIGHT(S51,4))</f>
        <v>2018</v>
      </c>
      <c r="V51" s="581" t="e">
        <f t="shared" si="11"/>
        <v>#N/A</v>
      </c>
      <c r="Y51" s="574"/>
      <c r="Z51" s="574"/>
      <c r="AA51" s="574"/>
      <c r="AB51" s="574"/>
      <c r="AC51" s="575"/>
      <c r="AD51" s="575"/>
      <c r="AE51" s="575"/>
      <c r="AF51" s="575"/>
      <c r="AG51" s="575"/>
      <c r="AH51" s="575"/>
      <c r="AI51" s="575"/>
      <c r="AJ51" s="575"/>
      <c r="AK51" s="575"/>
      <c r="AL51" s="575"/>
      <c r="AM51" s="575"/>
      <c r="AN51" s="575"/>
      <c r="AO51" s="575"/>
      <c r="AP51" s="574"/>
      <c r="AQ51" s="574"/>
    </row>
    <row r="52" spans="1:43" hidden="1">
      <c r="C52" s="589" t="s">
        <v>618</v>
      </c>
      <c r="D52" s="589" t="s">
        <v>226</v>
      </c>
      <c r="E52" s="590">
        <f>INDEX('SUNY Excels Dashboard'!$B$2:$U$67,MATCH(D35,'SUNY Excels Dashboard'!$B$2:$B$67,0),MATCH($D52,'SUNY Excels Dashboard'!$B$2:$U$2,0))</f>
        <v>1372</v>
      </c>
      <c r="F52" s="581" t="str">
        <f t="shared" si="12"/>
        <v>2020</v>
      </c>
      <c r="G52" s="581">
        <f>IF(OR(+E52="-",+E52="",+E52=0),NA(),E52)</f>
        <v>1372</v>
      </c>
      <c r="L52" s="589" t="s">
        <v>618</v>
      </c>
      <c r="M52" s="589" t="s">
        <v>226</v>
      </c>
      <c r="N52" s="590">
        <f>INDEX('SUNY Excels Dashboard'!$B$2:$U$67,MATCH(M35,'SUNY Excels Dashboard'!$B$2:$B$67,0),MATCH($D52,'SUNY Excels Dashboard'!$B$2:$U$2,0))</f>
        <v>0.35</v>
      </c>
      <c r="O52" s="581" t="str">
        <f t="shared" si="13"/>
        <v>2020</v>
      </c>
      <c r="P52" s="581">
        <f t="shared" si="10"/>
        <v>0.35</v>
      </c>
      <c r="R52" s="589" t="s">
        <v>618</v>
      </c>
      <c r="S52" s="589" t="s">
        <v>226</v>
      </c>
      <c r="T52" s="590">
        <f>INDEX('SUNY Excels Dashboard'!$B$2:$U$67,MATCH(S35,'SUNY Excels Dashboard'!$B$2:$B$67,0),MATCH($D52,'SUNY Excels Dashboard'!$B$2:$U$2,0))</f>
        <v>0.42</v>
      </c>
      <c r="U52" s="581" t="str">
        <f t="shared" si="14"/>
        <v>2020</v>
      </c>
      <c r="V52" s="581">
        <f t="shared" si="11"/>
        <v>0.42</v>
      </c>
      <c r="Y52" s="574"/>
      <c r="Z52" s="574"/>
      <c r="AA52" s="574"/>
      <c r="AB52" s="574"/>
      <c r="AC52" s="575"/>
      <c r="AD52" s="575"/>
      <c r="AE52" s="575"/>
      <c r="AF52" s="575"/>
      <c r="AG52" s="575"/>
      <c r="AH52" s="575"/>
      <c r="AI52" s="575"/>
      <c r="AJ52" s="575"/>
      <c r="AK52" s="575"/>
      <c r="AL52" s="575"/>
      <c r="AM52" s="575"/>
      <c r="AN52" s="575"/>
      <c r="AO52" s="575"/>
      <c r="AP52" s="574"/>
      <c r="AQ52" s="574"/>
    </row>
    <row r="53" spans="1:43" s="452" customFormat="1" ht="12">
      <c r="A53" s="442"/>
      <c r="B53" s="578"/>
      <c r="C53" s="581"/>
      <c r="D53" s="581"/>
      <c r="E53" s="581"/>
      <c r="F53" s="581"/>
      <c r="G53" s="581"/>
      <c r="H53" s="620"/>
      <c r="I53" s="620"/>
      <c r="J53" s="620"/>
      <c r="K53" s="582"/>
      <c r="L53" s="581"/>
      <c r="M53" s="581"/>
      <c r="N53" s="581"/>
      <c r="O53" s="581"/>
      <c r="P53" s="581"/>
      <c r="Q53" s="620"/>
      <c r="R53" s="581"/>
      <c r="S53" s="581"/>
      <c r="T53" s="581"/>
      <c r="U53" s="581"/>
      <c r="V53" s="581"/>
      <c r="W53" s="620"/>
      <c r="X53" s="582"/>
      <c r="Y53" s="567"/>
      <c r="Z53" s="567"/>
      <c r="AA53" s="572"/>
      <c r="AB53" s="573"/>
      <c r="AC53" s="571"/>
      <c r="AD53" s="571"/>
      <c r="AE53" s="571"/>
      <c r="AF53" s="571"/>
      <c r="AG53" s="571"/>
      <c r="AH53" s="571"/>
      <c r="AI53" s="571"/>
      <c r="AJ53" s="571"/>
      <c r="AK53" s="571"/>
      <c r="AL53" s="571"/>
      <c r="AM53" s="571"/>
      <c r="AN53" s="571"/>
      <c r="AO53" s="571"/>
      <c r="AP53" s="571"/>
      <c r="AQ53" s="571"/>
    </row>
    <row r="54" spans="1:43" s="452" customFormat="1" ht="12">
      <c r="A54" s="442"/>
      <c r="B54" s="578"/>
      <c r="C54" s="581"/>
      <c r="D54" s="581"/>
      <c r="E54" s="581"/>
      <c r="F54" s="581"/>
      <c r="G54" s="581"/>
      <c r="H54" s="620"/>
      <c r="I54" s="620"/>
      <c r="J54" s="620"/>
      <c r="K54" s="582"/>
      <c r="L54" s="581"/>
      <c r="M54" s="581"/>
      <c r="N54" s="581"/>
      <c r="O54" s="581"/>
      <c r="P54" s="581"/>
      <c r="Q54" s="620"/>
      <c r="R54" s="581"/>
      <c r="S54" s="581"/>
      <c r="T54" s="581"/>
      <c r="U54" s="581"/>
      <c r="V54" s="581"/>
      <c r="W54" s="620"/>
      <c r="X54" s="582"/>
      <c r="Y54" s="567"/>
      <c r="Z54" s="567"/>
      <c r="AA54" s="572"/>
      <c r="AB54" s="573"/>
      <c r="AC54" s="571"/>
      <c r="AD54" s="571"/>
      <c r="AE54" s="571"/>
      <c r="AF54" s="571"/>
      <c r="AG54" s="571"/>
      <c r="AH54" s="571"/>
      <c r="AI54" s="571"/>
      <c r="AJ54" s="571"/>
      <c r="AK54" s="571"/>
      <c r="AL54" s="571"/>
      <c r="AM54" s="571"/>
      <c r="AN54" s="571"/>
      <c r="AO54" s="571"/>
      <c r="AP54" s="571"/>
      <c r="AQ54" s="571"/>
    </row>
    <row r="55" spans="1:43" ht="45.75" customHeight="1">
      <c r="Y55" s="574"/>
      <c r="Z55" s="574"/>
      <c r="AA55" s="574"/>
      <c r="AB55" s="574"/>
      <c r="AC55" s="575"/>
      <c r="AD55" s="575"/>
      <c r="AE55" s="575"/>
      <c r="AF55" s="575"/>
      <c r="AG55" s="575"/>
      <c r="AH55" s="575"/>
      <c r="AI55" s="575"/>
      <c r="AJ55" s="575"/>
      <c r="AK55" s="575"/>
      <c r="AL55" s="575"/>
      <c r="AM55" s="575"/>
      <c r="AN55" s="575"/>
      <c r="AO55" s="575"/>
      <c r="AP55" s="574"/>
      <c r="AQ55" s="574"/>
    </row>
    <row r="56" spans="1:43">
      <c r="C56" s="583" t="s">
        <v>225</v>
      </c>
      <c r="D56" s="585">
        <f>+D5</f>
        <v>12</v>
      </c>
      <c r="L56" s="583" t="s">
        <v>225</v>
      </c>
      <c r="M56" s="585">
        <f>+M5</f>
        <v>13</v>
      </c>
      <c r="R56" s="583" t="s">
        <v>225</v>
      </c>
      <c r="S56" s="585">
        <f>+S5</f>
        <v>14</v>
      </c>
      <c r="Y56" s="574"/>
      <c r="Z56" s="574"/>
      <c r="AA56" s="574"/>
      <c r="AB56" s="574"/>
      <c r="AC56" s="575"/>
      <c r="AD56" s="575"/>
      <c r="AE56" s="575"/>
      <c r="AF56" s="575"/>
      <c r="AG56" s="575"/>
      <c r="AH56" s="575"/>
      <c r="AI56" s="575"/>
      <c r="AJ56" s="575"/>
      <c r="AK56" s="575"/>
      <c r="AL56" s="575"/>
      <c r="AM56" s="575"/>
      <c r="AN56" s="575"/>
      <c r="AO56" s="575"/>
      <c r="AP56" s="574"/>
      <c r="AQ56" s="574"/>
    </row>
    <row r="57" spans="1:43">
      <c r="B57" s="578">
        <v>3</v>
      </c>
      <c r="C57" s="581" t="s">
        <v>602</v>
      </c>
      <c r="D57" s="581" t="str">
        <f>VLOOKUP($D$56,'SUNY Excels Dashboard'!$B:$U,B57,0)</f>
        <v>Completion</v>
      </c>
      <c r="L57" s="581" t="s">
        <v>602</v>
      </c>
      <c r="M57" s="581" t="str">
        <f>VLOOKUP($M$56,'SUNY Excels Dashboard'!$B:$U,B57,0)</f>
        <v>Completion</v>
      </c>
      <c r="R57" s="581" t="s">
        <v>602</v>
      </c>
      <c r="S57" s="581" t="str">
        <f>VLOOKUP(S56,'SUNY Excels Dashboard'!$B:$U,$B57,0)</f>
        <v>Completion</v>
      </c>
      <c r="Y57" s="574"/>
      <c r="Z57" s="574"/>
      <c r="AA57" s="574"/>
      <c r="AB57" s="574"/>
      <c r="AC57" s="575"/>
      <c r="AD57" s="575"/>
      <c r="AE57" s="575"/>
      <c r="AF57" s="575"/>
      <c r="AG57" s="575"/>
      <c r="AH57" s="575"/>
      <c r="AI57" s="575"/>
      <c r="AJ57" s="575"/>
      <c r="AK57" s="575"/>
      <c r="AL57" s="575"/>
      <c r="AM57" s="575"/>
      <c r="AN57" s="575"/>
      <c r="AO57" s="575"/>
      <c r="AP57" s="574"/>
      <c r="AQ57" s="574"/>
    </row>
    <row r="58" spans="1:43">
      <c r="B58" s="578">
        <v>10</v>
      </c>
      <c r="C58" s="581" t="s">
        <v>600</v>
      </c>
      <c r="D58" s="581" t="str">
        <f>VLOOKUP($D$56,'SUNY Excels Dashboard'!$B:$U,B58,0)</f>
        <v>Percent 1st Year Retention 
(First-time, Full-time)</v>
      </c>
      <c r="L58" s="581" t="s">
        <v>600</v>
      </c>
      <c r="M58" s="581" t="str">
        <f>VLOOKUP($M$56,'SUNY Excels Dashboard'!$B:$U,B58,0)</f>
        <v>Time to Degree (years) - Associates</v>
      </c>
      <c r="R58" s="581" t="s">
        <v>600</v>
      </c>
      <c r="S58" s="581" t="str">
        <f>VLOOKUP(S56,'SUNY Excels Dashboard'!$B:$U,$B58,0)</f>
        <v>Time to Degree (years) - Baccalaurete</v>
      </c>
      <c r="Y58" s="574"/>
      <c r="Z58" s="574"/>
      <c r="AA58" s="574"/>
      <c r="AB58" s="574"/>
      <c r="AC58" s="575"/>
      <c r="AD58" s="575"/>
      <c r="AE58" s="575"/>
      <c r="AF58" s="575"/>
      <c r="AG58" s="575"/>
      <c r="AH58" s="575"/>
      <c r="AI58" s="575"/>
      <c r="AJ58" s="575"/>
      <c r="AK58" s="575"/>
      <c r="AL58" s="575"/>
      <c r="AM58" s="575"/>
      <c r="AN58" s="575"/>
      <c r="AO58" s="575"/>
      <c r="AP58" s="574"/>
      <c r="AQ58" s="574"/>
    </row>
    <row r="59" spans="1:43">
      <c r="B59" s="578">
        <v>4</v>
      </c>
      <c r="C59" s="581" t="s">
        <v>608</v>
      </c>
      <c r="D59" s="581" t="str">
        <f>VLOOKUP($D$56,'SUNY Excels Dashboard'!$B:$U,B59,0)</f>
        <v>0.0%</v>
      </c>
      <c r="L59" s="581" t="s">
        <v>608</v>
      </c>
      <c r="M59" s="581" t="str">
        <f>VLOOKUP($M$56,'SUNY Excels Dashboard'!$B:$U,B59,0)</f>
        <v>#,###</v>
      </c>
      <c r="R59" s="581" t="s">
        <v>608</v>
      </c>
      <c r="S59" s="581" t="str">
        <f>VLOOKUP(S56,'SUNY Excels Dashboard'!$B:$U,$B59,0)</f>
        <v>#,###</v>
      </c>
      <c r="Y59" s="574"/>
      <c r="Z59" s="574"/>
      <c r="AA59" s="574"/>
      <c r="AB59" s="574"/>
      <c r="AC59" s="575"/>
      <c r="AD59" s="575"/>
      <c r="AE59" s="575"/>
      <c r="AF59" s="575"/>
      <c r="AG59" s="575"/>
      <c r="AH59" s="575"/>
      <c r="AI59" s="575"/>
      <c r="AJ59" s="575"/>
      <c r="AK59" s="575"/>
      <c r="AL59" s="575"/>
      <c r="AM59" s="575"/>
      <c r="AN59" s="575"/>
      <c r="AO59" s="575"/>
      <c r="AP59" s="574"/>
      <c r="AQ59" s="574"/>
    </row>
    <row r="60" spans="1:43">
      <c r="B60" s="578">
        <v>6</v>
      </c>
      <c r="C60" s="581" t="s">
        <v>621</v>
      </c>
      <c r="D60" s="591" t="str">
        <f>VLOOKUP($D$56,'SUNY Excels Dashboard'!$B:$U,B60,0)</f>
        <v>line</v>
      </c>
      <c r="L60" s="581" t="s">
        <v>621</v>
      </c>
      <c r="M60" s="591" t="str">
        <f>VLOOKUP($M$56,'SUNY Excels Dashboard'!$B:$U,B60,0)</f>
        <v>bar</v>
      </c>
      <c r="R60" s="581" t="s">
        <v>621</v>
      </c>
      <c r="S60" s="591" t="str">
        <f>VLOOKUP(S56,'SUNY Excels Dashboard'!$B:$U,$B60,0)</f>
        <v>bar</v>
      </c>
      <c r="Y60" s="574"/>
      <c r="Z60" s="574"/>
      <c r="AA60" s="574"/>
      <c r="AB60" s="574"/>
      <c r="AC60" s="575"/>
      <c r="AD60" s="575"/>
      <c r="AE60" s="575"/>
      <c r="AF60" s="575"/>
      <c r="AG60" s="575"/>
      <c r="AH60" s="575"/>
      <c r="AI60" s="575"/>
      <c r="AJ60" s="575"/>
      <c r="AK60" s="575"/>
      <c r="AL60" s="575"/>
      <c r="AM60" s="575"/>
      <c r="AN60" s="575"/>
      <c r="AO60" s="575"/>
      <c r="AP60" s="574"/>
      <c r="AQ60" s="574"/>
    </row>
    <row r="61" spans="1:43">
      <c r="B61" s="578">
        <v>5</v>
      </c>
      <c r="C61" s="581" t="s">
        <v>613</v>
      </c>
      <c r="D61" s="581" t="str">
        <f>"Returning as of "&amp;VLOOKUP($D$56,'SUNY Excels Dashboard'!$B:$U,B61,0)</f>
        <v>Returning as of Fall Semester</v>
      </c>
      <c r="L61" s="581" t="s">
        <v>613</v>
      </c>
      <c r="M61" s="581" t="str">
        <f>VLOOKUP($M$56,'SUNY Excels Dashboard'!$B:$U,B61,0)</f>
        <v>Academic Year</v>
      </c>
      <c r="R61" s="581" t="s">
        <v>613</v>
      </c>
      <c r="S61" s="581" t="str">
        <f>VLOOKUP(S56,'SUNY Excels Dashboard'!$B:$U,$B61,0)</f>
        <v>Academic Year</v>
      </c>
      <c r="Y61" s="574"/>
      <c r="Z61" s="574"/>
      <c r="AA61" s="574"/>
      <c r="AB61" s="574"/>
      <c r="AC61" s="575"/>
      <c r="AD61" s="575"/>
      <c r="AE61" s="575"/>
      <c r="AF61" s="575"/>
      <c r="AG61" s="575"/>
      <c r="AH61" s="575"/>
      <c r="AI61" s="575"/>
      <c r="AJ61" s="575"/>
      <c r="AK61" s="575"/>
      <c r="AL61" s="575"/>
      <c r="AM61" s="575"/>
      <c r="AN61" s="575"/>
      <c r="AO61" s="575"/>
      <c r="AP61" s="574"/>
      <c r="AQ61" s="574"/>
    </row>
    <row r="62" spans="1:43">
      <c r="C62" s="581" t="s">
        <v>606</v>
      </c>
      <c r="D62" s="581" t="str">
        <f>+D57&amp;CHAR(10)&amp;D58</f>
        <v>Completion
Percent 1st Year Retention 
(First-time, Full-time)</v>
      </c>
      <c r="L62" s="581" t="s">
        <v>606</v>
      </c>
      <c r="M62" s="581" t="str">
        <f>+M57&amp;CHAR(10)&amp;M58</f>
        <v>Completion
Time to Degree (years) - Associates</v>
      </c>
      <c r="R62" s="581" t="s">
        <v>606</v>
      </c>
      <c r="S62" s="581" t="str">
        <f>+S57&amp;CHAR(10)&amp;S58</f>
        <v>Completion
Time to Degree (years) - Baccalaurete</v>
      </c>
      <c r="Y62" s="574"/>
      <c r="Z62" s="574"/>
      <c r="AA62" s="574"/>
      <c r="AB62" s="574"/>
      <c r="AC62" s="575"/>
      <c r="AD62" s="575"/>
      <c r="AE62" s="575"/>
      <c r="AF62" s="575"/>
      <c r="AG62" s="575"/>
      <c r="AH62" s="575"/>
      <c r="AI62" s="575"/>
      <c r="AJ62" s="575"/>
      <c r="AK62" s="575"/>
      <c r="AL62" s="575"/>
      <c r="AM62" s="575"/>
      <c r="AN62" s="575"/>
      <c r="AO62" s="575"/>
      <c r="AP62" s="574"/>
      <c r="AQ62" s="574"/>
    </row>
    <row r="63" spans="1:43">
      <c r="C63" s="584"/>
      <c r="D63" s="584"/>
      <c r="L63" s="584"/>
      <c r="M63" s="584"/>
      <c r="R63" s="584"/>
      <c r="S63" s="584"/>
      <c r="Y63" s="574"/>
      <c r="Z63" s="574"/>
      <c r="AA63" s="574"/>
      <c r="AB63" s="574"/>
      <c r="AC63" s="575"/>
      <c r="AD63" s="575"/>
      <c r="AE63" s="575"/>
      <c r="AF63" s="575"/>
      <c r="AG63" s="575"/>
      <c r="AH63" s="575"/>
      <c r="AI63" s="575"/>
      <c r="AJ63" s="575"/>
      <c r="AK63" s="575"/>
      <c r="AL63" s="575"/>
      <c r="AM63" s="575"/>
      <c r="AN63" s="575"/>
      <c r="AO63" s="575"/>
      <c r="AP63" s="574"/>
      <c r="AQ63" s="574"/>
    </row>
    <row r="64" spans="1:43">
      <c r="C64" s="584"/>
      <c r="D64" s="584" t="s">
        <v>605</v>
      </c>
      <c r="E64" s="584" t="s">
        <v>607</v>
      </c>
      <c r="F64" s="581" t="s">
        <v>603</v>
      </c>
      <c r="G64" s="581" t="s">
        <v>604</v>
      </c>
      <c r="H64" s="620" t="s">
        <v>644</v>
      </c>
      <c r="I64" s="620" t="s">
        <v>645</v>
      </c>
      <c r="J64" s="620" t="s">
        <v>646</v>
      </c>
      <c r="L64" s="584"/>
      <c r="M64" s="584" t="s">
        <v>605</v>
      </c>
      <c r="N64" s="584" t="s">
        <v>607</v>
      </c>
      <c r="O64" s="581" t="s">
        <v>603</v>
      </c>
      <c r="P64" s="581" t="s">
        <v>604</v>
      </c>
      <c r="Q64" s="620" t="s">
        <v>643</v>
      </c>
      <c r="R64" s="584"/>
      <c r="S64" s="584" t="s">
        <v>605</v>
      </c>
      <c r="T64" s="584" t="s">
        <v>607</v>
      </c>
      <c r="U64" s="581" t="s">
        <v>603</v>
      </c>
      <c r="V64" s="581" t="s">
        <v>604</v>
      </c>
      <c r="W64" s="620" t="s">
        <v>643</v>
      </c>
      <c r="Y64" s="574"/>
      <c r="Z64" s="574"/>
      <c r="AA64" s="574"/>
      <c r="AB64" s="574"/>
      <c r="AC64" s="575"/>
      <c r="AD64" s="575"/>
      <c r="AE64" s="575"/>
      <c r="AF64" s="575"/>
      <c r="AG64" s="575"/>
      <c r="AH64" s="575"/>
      <c r="AI64" s="575"/>
      <c r="AJ64" s="575"/>
      <c r="AK64" s="575"/>
      <c r="AL64" s="575"/>
      <c r="AM64" s="575"/>
      <c r="AN64" s="575"/>
      <c r="AO64" s="575"/>
      <c r="AP64" s="574"/>
      <c r="AQ64" s="574"/>
    </row>
    <row r="65" spans="1:43">
      <c r="C65" s="584" t="s">
        <v>64</v>
      </c>
      <c r="D65" s="584" t="s">
        <v>49</v>
      </c>
      <c r="E65" s="586">
        <f>INDEX('SUNY Excels Dashboard'!$B$2:$U$67,MATCH(D56,'SUNY Excels Dashboard'!$B$2:$B$67,0),MATCH($D65,'SUNY Excels Dashboard'!$B$2:$U$2,0))</f>
        <v>0.53600000000000003</v>
      </c>
      <c r="F65" s="581" t="str">
        <f>IF(RIGHT($D$19,4)="year",C65,RIGHT(D65,4))</f>
        <v>2009</v>
      </c>
      <c r="G65" s="624">
        <f t="shared" ref="G65:G69" si="16">IF(+E65="-",NA(),E65)</f>
        <v>0.53600000000000003</v>
      </c>
      <c r="H65" s="623">
        <v>0.7053389002398508</v>
      </c>
      <c r="I65" s="623">
        <v>0.78632375866955639</v>
      </c>
      <c r="J65" s="623">
        <v>0.58973580366442224</v>
      </c>
      <c r="L65" s="584" t="s">
        <v>64</v>
      </c>
      <c r="M65" s="584" t="s">
        <v>49</v>
      </c>
      <c r="N65" s="586">
        <f>INDEX('SUNY Excels Dashboard'!$B$2:$U$67,MATCH(M56,'SUNY Excels Dashboard'!$B$2:$B$67,0),MATCH($D65,'SUNY Excels Dashboard'!$B$2:$U$2,0))</f>
        <v>2.9622222222222199</v>
      </c>
      <c r="O65" s="581" t="str">
        <f>IF(RIGHT($D$19,4)="year",L65,RIGHT(M65,4))</f>
        <v>2009</v>
      </c>
      <c r="P65" s="625">
        <f t="shared" ref="P65:P69" si="17">IF(+N65="-",NA(),N65)</f>
        <v>2.9622222222222199</v>
      </c>
      <c r="Q65" s="626" t="s">
        <v>187</v>
      </c>
      <c r="R65" s="584" t="s">
        <v>64</v>
      </c>
      <c r="S65" s="584" t="s">
        <v>49</v>
      </c>
      <c r="T65" s="586">
        <f>INDEX('SUNY Excels Dashboard'!$B$2:$U$67,MATCH(S56,'SUNY Excels Dashboard'!$B$2:$B$67,0),MATCH($D65,'SUNY Excels Dashboard'!$B$2:$U$2,0))</f>
        <v>4.7452830188679203</v>
      </c>
      <c r="U65" s="581" t="str">
        <f>IF(RIGHT($D$19,4)="year",R65,RIGHT(S65,4))</f>
        <v>2009</v>
      </c>
      <c r="V65" s="627">
        <f>IF(+T65="-",NA(),T65)</f>
        <v>4.7452830188679203</v>
      </c>
      <c r="W65" s="626" t="s">
        <v>187</v>
      </c>
      <c r="Y65" s="574"/>
      <c r="Z65" s="574"/>
      <c r="AA65" s="574"/>
      <c r="AB65" s="574"/>
      <c r="AC65" s="575"/>
      <c r="AD65" s="575"/>
      <c r="AE65" s="575"/>
      <c r="AF65" s="575"/>
      <c r="AG65" s="575"/>
      <c r="AH65" s="575"/>
      <c r="AI65" s="575"/>
      <c r="AJ65" s="575"/>
      <c r="AK65" s="575"/>
      <c r="AL65" s="575"/>
      <c r="AM65" s="575"/>
      <c r="AN65" s="575"/>
      <c r="AO65" s="575"/>
      <c r="AP65" s="574"/>
      <c r="AQ65" s="574"/>
    </row>
    <row r="66" spans="1:43">
      <c r="C66" s="584" t="s">
        <v>65</v>
      </c>
      <c r="D66" s="584" t="s">
        <v>50</v>
      </c>
      <c r="E66" s="586">
        <f>INDEX('SUNY Excels Dashboard'!$B$2:$U$67,MATCH(D56,'SUNY Excels Dashboard'!$B$2:$B$67,0),MATCH($D66,'SUNY Excels Dashboard'!$B$2:$U$2,0))</f>
        <v>0.52700000000000002</v>
      </c>
      <c r="F66" s="581" t="str">
        <f>IF(RIGHT($D$19,4)="year",C66,RIGHT(D66,4))</f>
        <v>2010</v>
      </c>
      <c r="G66" s="624">
        <f t="shared" si="16"/>
        <v>0.52700000000000002</v>
      </c>
      <c r="H66" s="623">
        <v>0.70499429937350455</v>
      </c>
      <c r="I66" s="623">
        <v>0.7945686404475496</v>
      </c>
      <c r="J66" s="623">
        <v>0.59877500416814489</v>
      </c>
      <c r="L66" s="584" t="s">
        <v>65</v>
      </c>
      <c r="M66" s="584" t="s">
        <v>50</v>
      </c>
      <c r="N66" s="586">
        <f>INDEX('SUNY Excels Dashboard'!$B$2:$U$67,MATCH(M56,'SUNY Excels Dashboard'!$B$2:$B$67,0),MATCH($D66,'SUNY Excels Dashboard'!$B$2:$U$2,0))</f>
        <v>3.0370967741935502</v>
      </c>
      <c r="O66" s="581" t="str">
        <f>IF(RIGHT($D$19,4)="year",L66,RIGHT(M66,4))</f>
        <v>2010</v>
      </c>
      <c r="P66" s="625">
        <f t="shared" si="17"/>
        <v>3.0370967741935502</v>
      </c>
      <c r="Q66" s="626" t="s">
        <v>187</v>
      </c>
      <c r="R66" s="584" t="s">
        <v>65</v>
      </c>
      <c r="S66" s="584" t="s">
        <v>50</v>
      </c>
      <c r="T66" s="586">
        <f>INDEX('SUNY Excels Dashboard'!$B$2:$U$67,MATCH(S56,'SUNY Excels Dashboard'!$B$2:$B$67,0),MATCH($D66,'SUNY Excels Dashboard'!$B$2:$U$2,0))</f>
        <v>4.79213483146067</v>
      </c>
      <c r="U66" s="581" t="str">
        <f>IF(RIGHT($D$19,4)="year",R66,RIGHT(S66,4))</f>
        <v>2010</v>
      </c>
      <c r="V66" s="627">
        <f t="shared" ref="V66:V69" si="18">IF(+T66="-",NA(),T66)</f>
        <v>4.79213483146067</v>
      </c>
      <c r="W66" s="626" t="s">
        <v>187</v>
      </c>
      <c r="Y66" s="574"/>
      <c r="Z66" s="574"/>
      <c r="AA66" s="574"/>
      <c r="AB66" s="574"/>
      <c r="AC66" s="575"/>
      <c r="AD66" s="575"/>
      <c r="AE66" s="575"/>
      <c r="AF66" s="575"/>
      <c r="AG66" s="575"/>
      <c r="AH66" s="575"/>
      <c r="AI66" s="575"/>
      <c r="AJ66" s="575"/>
      <c r="AK66" s="575"/>
      <c r="AL66" s="575"/>
      <c r="AM66" s="575"/>
      <c r="AN66" s="575"/>
      <c r="AO66" s="575"/>
      <c r="AP66" s="574"/>
      <c r="AQ66" s="574"/>
    </row>
    <row r="67" spans="1:43">
      <c r="C67" s="584" t="s">
        <v>66</v>
      </c>
      <c r="D67" s="584" t="s">
        <v>51</v>
      </c>
      <c r="E67" s="586">
        <f>INDEX('SUNY Excels Dashboard'!$B$2:$U$67,MATCH(D56,'SUNY Excels Dashboard'!$B$2:$B$67,0),MATCH($D67,'SUNY Excels Dashboard'!$B$2:$U$2,0))</f>
        <v>0.62</v>
      </c>
      <c r="F67" s="581" t="str">
        <f>IF(RIGHT($D$19,4)="year",C67,RIGHT(D67,4))</f>
        <v>2011</v>
      </c>
      <c r="G67" s="624">
        <f t="shared" si="16"/>
        <v>0.62</v>
      </c>
      <c r="H67" s="623">
        <v>0.70218106828723537</v>
      </c>
      <c r="I67" s="623">
        <v>0.79336370919925447</v>
      </c>
      <c r="J67" s="623">
        <v>0.58890788249193138</v>
      </c>
      <c r="L67" s="584" t="s">
        <v>66</v>
      </c>
      <c r="M67" s="584" t="s">
        <v>51</v>
      </c>
      <c r="N67" s="586">
        <f>INDEX('SUNY Excels Dashboard'!$B$2:$U$67,MATCH(M56,'SUNY Excels Dashboard'!$B$2:$B$67,0),MATCH($D67,'SUNY Excels Dashboard'!$B$2:$U$2,0))</f>
        <v>3.0493421052631602</v>
      </c>
      <c r="O67" s="581" t="str">
        <f>IF(RIGHT($D$19,4)="year",L67,RIGHT(M67,4))</f>
        <v>2011</v>
      </c>
      <c r="P67" s="625">
        <f t="shared" si="17"/>
        <v>3.0493421052631602</v>
      </c>
      <c r="Q67" s="626" t="s">
        <v>187</v>
      </c>
      <c r="R67" s="584" t="s">
        <v>66</v>
      </c>
      <c r="S67" s="584" t="s">
        <v>51</v>
      </c>
      <c r="T67" s="586">
        <f>INDEX('SUNY Excels Dashboard'!$B$2:$U$67,MATCH(S56,'SUNY Excels Dashboard'!$B$2:$B$67,0),MATCH($D67,'SUNY Excels Dashboard'!$B$2:$U$2,0))</f>
        <v>5.0285714285714302</v>
      </c>
      <c r="U67" s="581" t="str">
        <f>IF(RIGHT($D$19,4)="year",R67,RIGHT(S67,4))</f>
        <v>2011</v>
      </c>
      <c r="V67" s="627">
        <f t="shared" si="18"/>
        <v>5.0285714285714302</v>
      </c>
      <c r="W67" s="626" t="s">
        <v>187</v>
      </c>
      <c r="Y67" s="574"/>
      <c r="Z67" s="574"/>
      <c r="AA67" s="574"/>
      <c r="AB67" s="574"/>
      <c r="AC67" s="575"/>
      <c r="AD67" s="575"/>
      <c r="AE67" s="575"/>
      <c r="AF67" s="575"/>
      <c r="AG67" s="575"/>
      <c r="AH67" s="575"/>
      <c r="AI67" s="575"/>
      <c r="AJ67" s="575"/>
      <c r="AK67" s="575"/>
      <c r="AL67" s="575"/>
      <c r="AM67" s="575"/>
      <c r="AN67" s="575"/>
      <c r="AO67" s="575"/>
      <c r="AP67" s="574"/>
      <c r="AQ67" s="574"/>
    </row>
    <row r="68" spans="1:43">
      <c r="C68" s="584" t="s">
        <v>67</v>
      </c>
      <c r="D68" s="584" t="s">
        <v>52</v>
      </c>
      <c r="E68" s="586">
        <f>INDEX('SUNY Excels Dashboard'!$B$2:$U$67,MATCH(D56,'SUNY Excels Dashboard'!$B$2:$B$67,0),MATCH($D68,'SUNY Excels Dashboard'!$B$2:$U$2,0))</f>
        <v>0.56399999999999995</v>
      </c>
      <c r="F68" s="581" t="str">
        <f>IF(RIGHT($D$19,4)="year",C68,RIGHT(D68,4))</f>
        <v>2012</v>
      </c>
      <c r="G68" s="624">
        <f t="shared" si="16"/>
        <v>0.56399999999999995</v>
      </c>
      <c r="H68" s="623">
        <v>0.70262238927199472</v>
      </c>
      <c r="I68" s="623">
        <v>0.79206458394440971</v>
      </c>
      <c r="J68" s="623">
        <v>0.58155566419220017</v>
      </c>
      <c r="L68" s="584" t="s">
        <v>67</v>
      </c>
      <c r="M68" s="584" t="s">
        <v>52</v>
      </c>
      <c r="N68" s="586">
        <f>INDEX('SUNY Excels Dashboard'!$B$2:$U$67,MATCH(M56,'SUNY Excels Dashboard'!$B$2:$B$67,0),MATCH($D68,'SUNY Excels Dashboard'!$B$2:$U$2,0))</f>
        <v>3.2010869565217401</v>
      </c>
      <c r="O68" s="581" t="str">
        <f>IF(RIGHT($D$19,4)="year",L68,RIGHT(M68,4))</f>
        <v>2012</v>
      </c>
      <c r="P68" s="625">
        <f t="shared" si="17"/>
        <v>3.2010869565217401</v>
      </c>
      <c r="Q68" s="626" t="s">
        <v>187</v>
      </c>
      <c r="R68" s="584" t="s">
        <v>67</v>
      </c>
      <c r="S68" s="584" t="s">
        <v>52</v>
      </c>
      <c r="T68" s="586">
        <f>INDEX('SUNY Excels Dashboard'!$B$2:$U$67,MATCH(S56,'SUNY Excels Dashboard'!$B$2:$B$67,0),MATCH($D68,'SUNY Excels Dashboard'!$B$2:$U$2,0))</f>
        <v>4.9960317460317496</v>
      </c>
      <c r="U68" s="581" t="str">
        <f>IF(RIGHT($D$19,4)="year",R68,RIGHT(S68,4))</f>
        <v>2012</v>
      </c>
      <c r="V68" s="627">
        <f>IF(+T68="-",NA(),T68)</f>
        <v>4.9960317460317496</v>
      </c>
      <c r="W68" s="626" t="s">
        <v>187</v>
      </c>
      <c r="Y68" s="574"/>
      <c r="Z68" s="574"/>
      <c r="AA68" s="574"/>
      <c r="AB68" s="574"/>
      <c r="AC68" s="575"/>
      <c r="AD68" s="575"/>
      <c r="AE68" s="575"/>
      <c r="AF68" s="575"/>
      <c r="AG68" s="575"/>
      <c r="AH68" s="575"/>
      <c r="AI68" s="575"/>
      <c r="AJ68" s="575"/>
      <c r="AK68" s="575"/>
      <c r="AL68" s="575"/>
      <c r="AM68" s="575"/>
      <c r="AN68" s="575"/>
      <c r="AO68" s="575"/>
      <c r="AP68" s="574"/>
      <c r="AQ68" s="574"/>
    </row>
    <row r="69" spans="1:43">
      <c r="C69" s="584" t="s">
        <v>68</v>
      </c>
      <c r="D69" s="584" t="s">
        <v>53</v>
      </c>
      <c r="E69" s="586">
        <f>INDEX('SUNY Excels Dashboard'!$B$2:$U$67,MATCH(D56,'SUNY Excels Dashboard'!$B$2:$B$67,0),MATCH($D69,'SUNY Excels Dashboard'!$B$2:$U$2,0))</f>
        <v>0.64</v>
      </c>
      <c r="F69" s="581" t="str">
        <f t="shared" ref="F69:F73" si="19">IF(RIGHT($D$19,4)="year",C69,RIGHT(D69,4))</f>
        <v>2013</v>
      </c>
      <c r="G69" s="624">
        <f t="shared" si="16"/>
        <v>0.64</v>
      </c>
      <c r="H69" s="623"/>
      <c r="I69" s="623"/>
      <c r="J69" s="623"/>
      <c r="L69" s="584" t="s">
        <v>68</v>
      </c>
      <c r="M69" s="584" t="s">
        <v>53</v>
      </c>
      <c r="N69" s="586">
        <f>INDEX('SUNY Excels Dashboard'!$B$2:$U$67,MATCH(M56,'SUNY Excels Dashboard'!$B$2:$B$67,0),MATCH($D69,'SUNY Excels Dashboard'!$B$2:$U$2,0))</f>
        <v>3.1202749140893502</v>
      </c>
      <c r="O69" s="581" t="str">
        <f t="shared" ref="O69:O73" si="20">IF(RIGHT($D$19,4)="year",L69,RIGHT(M69,4))</f>
        <v>2013</v>
      </c>
      <c r="P69" s="625">
        <f t="shared" si="17"/>
        <v>3.1202749140893502</v>
      </c>
      <c r="Q69" s="626" t="s">
        <v>187</v>
      </c>
      <c r="R69" s="584" t="s">
        <v>68</v>
      </c>
      <c r="S69" s="584" t="s">
        <v>53</v>
      </c>
      <c r="T69" s="586">
        <f>INDEX('SUNY Excels Dashboard'!$B$2:$U$67,MATCH(S56,'SUNY Excels Dashboard'!$B$2:$B$67,0),MATCH($D69,'SUNY Excels Dashboard'!$B$2:$U$2,0))</f>
        <v>5.26893939393939</v>
      </c>
      <c r="U69" s="581" t="str">
        <f t="shared" ref="U69:U73" si="21">IF(RIGHT($D$19,4)="year",R69,RIGHT(S69,4))</f>
        <v>2013</v>
      </c>
      <c r="V69" s="627">
        <f t="shared" si="18"/>
        <v>5.26893939393939</v>
      </c>
      <c r="W69" s="626" t="s">
        <v>187</v>
      </c>
      <c r="Y69" s="574"/>
      <c r="Z69" s="574"/>
      <c r="AA69" s="574"/>
      <c r="AB69" s="574"/>
      <c r="AC69" s="575"/>
      <c r="AD69" s="575"/>
      <c r="AE69" s="575"/>
      <c r="AF69" s="575"/>
      <c r="AG69" s="575"/>
      <c r="AH69" s="575"/>
      <c r="AI69" s="575"/>
      <c r="AJ69" s="575"/>
      <c r="AK69" s="575"/>
      <c r="AL69" s="575"/>
      <c r="AM69" s="575"/>
      <c r="AN69" s="575"/>
      <c r="AO69" s="575"/>
      <c r="AP69" s="574"/>
      <c r="AQ69" s="574"/>
    </row>
    <row r="70" spans="1:43">
      <c r="C70" s="587" t="s">
        <v>508</v>
      </c>
      <c r="D70" s="587" t="s">
        <v>261</v>
      </c>
      <c r="E70" s="588">
        <f>INDEX('SUNY Excels Dashboard'!$B$2:$U$67,MATCH(D56,'SUNY Excels Dashboard'!$B$2:$B$67,0),MATCH($D70,'SUNY Excels Dashboard'!$B$2:$U$2,0))</f>
        <v>0.66400000000000003</v>
      </c>
      <c r="F70" s="581" t="str">
        <f t="shared" si="19"/>
        <v>2014</v>
      </c>
      <c r="G70" s="581">
        <f t="shared" ref="G70:G73" si="22">IF(OR(+E70="-",+E70="",+E70=0),NA(),E70)</f>
        <v>0.66400000000000003</v>
      </c>
      <c r="H70" s="620" t="s">
        <v>187</v>
      </c>
      <c r="L70" s="587" t="s">
        <v>508</v>
      </c>
      <c r="M70" s="587" t="s">
        <v>261</v>
      </c>
      <c r="N70" s="588" t="str">
        <f>INDEX('SUNY Excels Dashboard'!$B$2:$U$67,MATCH(M56,'SUNY Excels Dashboard'!$B$2:$B$67,0),MATCH($D70,'SUNY Excels Dashboard'!$B$2:$U$2,0))</f>
        <v>-</v>
      </c>
      <c r="O70" s="581" t="str">
        <f t="shared" si="20"/>
        <v>2014</v>
      </c>
      <c r="P70" s="581" t="e">
        <f>IF(OR(+N70="-",+N70="",+N70=0),NA(),N70)</f>
        <v>#N/A</v>
      </c>
      <c r="R70" s="587" t="s">
        <v>508</v>
      </c>
      <c r="S70" s="587" t="s">
        <v>261</v>
      </c>
      <c r="T70" s="588" t="str">
        <f>INDEX('SUNY Excels Dashboard'!$B$2:$U$67,MATCH(S56,'SUNY Excels Dashboard'!$B$2:$B$67,0),MATCH($D70,'SUNY Excels Dashboard'!$B$2:$U$2,0))</f>
        <v>-</v>
      </c>
      <c r="U70" s="581" t="str">
        <f t="shared" si="21"/>
        <v>2014</v>
      </c>
      <c r="V70" s="581" t="e">
        <f>IF(OR(+T70="-",+T70="",+T70=0),NA(),T70)</f>
        <v>#N/A</v>
      </c>
      <c r="Y70" s="574"/>
      <c r="Z70" s="574"/>
      <c r="AA70" s="574"/>
      <c r="AB70" s="574"/>
      <c r="AC70" s="575"/>
      <c r="AD70" s="575"/>
      <c r="AE70" s="575"/>
      <c r="AF70" s="575"/>
      <c r="AG70" s="575"/>
      <c r="AH70" s="575"/>
      <c r="AI70" s="575"/>
      <c r="AJ70" s="575"/>
      <c r="AK70" s="575"/>
      <c r="AL70" s="575"/>
      <c r="AM70" s="575"/>
      <c r="AN70" s="575"/>
      <c r="AO70" s="575"/>
      <c r="AP70" s="574"/>
      <c r="AQ70" s="574"/>
    </row>
    <row r="71" spans="1:43" hidden="1">
      <c r="C71" s="589" t="s">
        <v>593</v>
      </c>
      <c r="D71" s="589" t="s">
        <v>224</v>
      </c>
      <c r="E71" s="590" t="e">
        <f>INDEX(#REF!,MATCH(D56,#REF!,0),MATCH($D71,#REF!,0))</f>
        <v>#REF!</v>
      </c>
      <c r="F71" s="581" t="str">
        <f t="shared" si="19"/>
        <v>2015</v>
      </c>
      <c r="G71" s="581" t="e">
        <f t="shared" si="22"/>
        <v>#REF!</v>
      </c>
      <c r="L71" s="589" t="s">
        <v>593</v>
      </c>
      <c r="M71" s="589" t="s">
        <v>224</v>
      </c>
      <c r="N71" s="590" t="e">
        <f>INDEX(#REF!,MATCH(M56,#REF!,0),MATCH($D71,#REF!,0))</f>
        <v>#REF!</v>
      </c>
      <c r="O71" s="581" t="str">
        <f t="shared" si="20"/>
        <v>2015</v>
      </c>
      <c r="P71" s="581" t="e">
        <f t="shared" ref="P71:P73" si="23">IF(OR(+N71="-",+N71="",+N71=0),NA(),N71)</f>
        <v>#REF!</v>
      </c>
      <c r="R71" s="589" t="s">
        <v>593</v>
      </c>
      <c r="S71" s="589" t="s">
        <v>224</v>
      </c>
      <c r="T71" s="590" t="e">
        <f>INDEX(#REF!,MATCH(S56,#REF!,0),MATCH($D71,#REF!,0))</f>
        <v>#REF!</v>
      </c>
      <c r="U71" s="581" t="str">
        <f t="shared" si="21"/>
        <v>2015</v>
      </c>
      <c r="V71" s="581" t="e">
        <f t="shared" ref="V71:V73" si="24">IF(OR(+T71="-",+T71="",+T71=0),NA(),T71)</f>
        <v>#REF!</v>
      </c>
      <c r="Y71" s="574"/>
      <c r="Z71" s="574"/>
      <c r="AA71" s="574"/>
      <c r="AB71" s="574"/>
      <c r="AC71" s="575"/>
      <c r="AD71" s="575"/>
      <c r="AE71" s="575"/>
      <c r="AF71" s="575"/>
      <c r="AG71" s="575"/>
      <c r="AH71" s="575"/>
      <c r="AI71" s="575"/>
      <c r="AJ71" s="575"/>
      <c r="AK71" s="575"/>
      <c r="AL71" s="575"/>
      <c r="AM71" s="575"/>
      <c r="AN71" s="575"/>
      <c r="AO71" s="575"/>
      <c r="AP71" s="574"/>
      <c r="AQ71" s="574"/>
    </row>
    <row r="72" spans="1:43" hidden="1">
      <c r="C72" s="589" t="s">
        <v>617</v>
      </c>
      <c r="D72" s="589" t="s">
        <v>257</v>
      </c>
      <c r="E72" s="590" t="e">
        <f>INDEX(#REF!,MATCH(D56,#REF!,0),MATCH($D72,#REF!,0))</f>
        <v>#REF!</v>
      </c>
      <c r="F72" s="581" t="str">
        <f t="shared" si="19"/>
        <v>2018</v>
      </c>
      <c r="G72" s="581" t="e">
        <f t="shared" si="22"/>
        <v>#REF!</v>
      </c>
      <c r="L72" s="589" t="s">
        <v>617</v>
      </c>
      <c r="M72" s="589" t="s">
        <v>257</v>
      </c>
      <c r="N72" s="590" t="e">
        <f>INDEX(#REF!,MATCH(M56,#REF!,0),MATCH($D72,#REF!,0))</f>
        <v>#REF!</v>
      </c>
      <c r="O72" s="581" t="str">
        <f t="shared" si="20"/>
        <v>2018</v>
      </c>
      <c r="P72" s="581" t="e">
        <f t="shared" si="23"/>
        <v>#REF!</v>
      </c>
      <c r="R72" s="589" t="s">
        <v>617</v>
      </c>
      <c r="S72" s="589" t="s">
        <v>257</v>
      </c>
      <c r="T72" s="590" t="e">
        <f>INDEX(#REF!,MATCH(S56,#REF!,0),MATCH($D72,#REF!,0))</f>
        <v>#REF!</v>
      </c>
      <c r="U72" s="581" t="str">
        <f t="shared" si="21"/>
        <v>2018</v>
      </c>
      <c r="V72" s="581" t="e">
        <f t="shared" si="24"/>
        <v>#REF!</v>
      </c>
      <c r="Y72" s="574"/>
      <c r="Z72" s="574"/>
      <c r="AA72" s="574"/>
      <c r="AB72" s="574"/>
      <c r="AC72" s="575"/>
      <c r="AD72" s="575"/>
      <c r="AE72" s="575"/>
      <c r="AF72" s="575"/>
      <c r="AG72" s="575"/>
      <c r="AH72" s="575"/>
      <c r="AI72" s="575"/>
      <c r="AJ72" s="575"/>
      <c r="AK72" s="575"/>
      <c r="AL72" s="575"/>
      <c r="AM72" s="575"/>
      <c r="AN72" s="575"/>
      <c r="AO72" s="575"/>
      <c r="AP72" s="574"/>
      <c r="AQ72" s="574"/>
    </row>
    <row r="73" spans="1:43" hidden="1">
      <c r="C73" s="589" t="s">
        <v>618</v>
      </c>
      <c r="D73" s="589" t="s">
        <v>226</v>
      </c>
      <c r="E73" s="590" t="e">
        <f>INDEX(#REF!,MATCH(D56,#REF!,0),MATCH($D73,#REF!,0))</f>
        <v>#REF!</v>
      </c>
      <c r="F73" s="581" t="str">
        <f t="shared" si="19"/>
        <v>2020</v>
      </c>
      <c r="G73" s="581" t="e">
        <f t="shared" si="22"/>
        <v>#REF!</v>
      </c>
      <c r="L73" s="589" t="s">
        <v>618</v>
      </c>
      <c r="M73" s="589" t="s">
        <v>226</v>
      </c>
      <c r="N73" s="590" t="e">
        <f>INDEX(#REF!,MATCH(M56,#REF!,0),MATCH($D73,#REF!,0))</f>
        <v>#REF!</v>
      </c>
      <c r="O73" s="581" t="str">
        <f t="shared" si="20"/>
        <v>2020</v>
      </c>
      <c r="P73" s="581" t="e">
        <f t="shared" si="23"/>
        <v>#REF!</v>
      </c>
      <c r="R73" s="589" t="s">
        <v>618</v>
      </c>
      <c r="S73" s="589" t="s">
        <v>226</v>
      </c>
      <c r="T73" s="590" t="e">
        <f>INDEX(#REF!,MATCH(S56,#REF!,0),MATCH($D73,#REF!,0))</f>
        <v>#REF!</v>
      </c>
      <c r="U73" s="581" t="str">
        <f t="shared" si="21"/>
        <v>2020</v>
      </c>
      <c r="V73" s="581" t="e">
        <f t="shared" si="24"/>
        <v>#REF!</v>
      </c>
      <c r="Y73" s="574"/>
      <c r="Z73" s="574"/>
      <c r="AA73" s="574"/>
      <c r="AB73" s="574"/>
      <c r="AC73" s="575"/>
      <c r="AD73" s="575"/>
      <c r="AE73" s="575"/>
      <c r="AF73" s="575"/>
      <c r="AG73" s="575"/>
      <c r="AH73" s="575"/>
      <c r="AI73" s="575"/>
      <c r="AJ73" s="575"/>
      <c r="AK73" s="575"/>
      <c r="AL73" s="575"/>
      <c r="AM73" s="575"/>
      <c r="AN73" s="575"/>
      <c r="AO73" s="575"/>
      <c r="AP73" s="574"/>
      <c r="AQ73" s="574"/>
    </row>
    <row r="74" spans="1:43">
      <c r="Y74" s="574"/>
      <c r="Z74" s="574"/>
      <c r="AA74" s="574"/>
      <c r="AB74" s="574"/>
      <c r="AC74" s="575"/>
      <c r="AD74" s="575"/>
      <c r="AE74" s="575"/>
      <c r="AF74" s="575"/>
      <c r="AG74" s="575"/>
      <c r="AH74" s="575"/>
      <c r="AI74" s="575"/>
      <c r="AJ74" s="575"/>
      <c r="AK74" s="575"/>
      <c r="AL74" s="575"/>
      <c r="AM74" s="575"/>
      <c r="AN74" s="575"/>
      <c r="AO74" s="575"/>
      <c r="AP74" s="574"/>
      <c r="AQ74" s="574"/>
    </row>
    <row r="75" spans="1:43">
      <c r="Y75" s="574"/>
      <c r="Z75" s="574"/>
      <c r="AA75" s="574"/>
      <c r="AB75" s="574"/>
      <c r="AC75" s="575"/>
      <c r="AD75" s="575"/>
      <c r="AE75" s="575"/>
      <c r="AF75" s="575"/>
      <c r="AG75" s="575"/>
      <c r="AH75" s="575"/>
      <c r="AI75" s="575"/>
      <c r="AJ75" s="575"/>
      <c r="AK75" s="575"/>
      <c r="AL75" s="575"/>
      <c r="AM75" s="575"/>
      <c r="AN75" s="575"/>
      <c r="AO75" s="575"/>
      <c r="AP75" s="574"/>
      <c r="AQ75" s="574"/>
    </row>
    <row r="76" spans="1:43" ht="58.5" customHeight="1">
      <c r="Y76" s="574"/>
      <c r="Z76" s="574"/>
      <c r="AA76" s="574"/>
      <c r="AB76" s="574"/>
      <c r="AC76" s="575"/>
      <c r="AD76" s="575"/>
      <c r="AE76" s="575"/>
      <c r="AF76" s="575"/>
      <c r="AG76" s="575"/>
      <c r="AH76" s="575"/>
      <c r="AI76" s="575"/>
      <c r="AJ76" s="575"/>
      <c r="AK76" s="575"/>
      <c r="AL76" s="575"/>
      <c r="AM76" s="575"/>
      <c r="AN76" s="575"/>
      <c r="AO76" s="575"/>
      <c r="AP76" s="574"/>
      <c r="AQ76" s="574"/>
    </row>
    <row r="77" spans="1:43" s="452" customFormat="1" ht="12">
      <c r="A77" s="442"/>
      <c r="B77" s="578"/>
      <c r="C77" s="583" t="s">
        <v>225</v>
      </c>
      <c r="D77" s="585">
        <f>+D6</f>
        <v>29</v>
      </c>
      <c r="E77" s="581"/>
      <c r="F77" s="581"/>
      <c r="G77" s="581"/>
      <c r="H77" s="620"/>
      <c r="I77" s="620"/>
      <c r="J77" s="620"/>
      <c r="K77" s="582"/>
      <c r="L77" s="583" t="s">
        <v>225</v>
      </c>
      <c r="M77" s="585">
        <f>+M6</f>
        <v>30</v>
      </c>
      <c r="N77" s="581"/>
      <c r="O77" s="581"/>
      <c r="P77" s="581"/>
      <c r="Q77" s="620"/>
      <c r="R77" s="583" t="s">
        <v>225</v>
      </c>
      <c r="S77" s="585">
        <f>+S6</f>
        <v>31</v>
      </c>
      <c r="T77" s="581"/>
      <c r="U77" s="581"/>
      <c r="V77" s="581"/>
      <c r="W77" s="620"/>
      <c r="X77" s="582"/>
      <c r="Y77" s="567"/>
      <c r="Z77" s="567"/>
      <c r="AA77" s="572"/>
      <c r="AB77" s="573"/>
      <c r="AC77" s="571"/>
      <c r="AD77" s="571"/>
      <c r="AE77" s="571"/>
      <c r="AF77" s="571"/>
      <c r="AG77" s="571"/>
      <c r="AH77" s="571"/>
      <c r="AI77" s="571"/>
      <c r="AJ77" s="571"/>
      <c r="AK77" s="571"/>
      <c r="AL77" s="571"/>
      <c r="AM77" s="571"/>
      <c r="AN77" s="571"/>
      <c r="AO77" s="571"/>
      <c r="AP77" s="571"/>
      <c r="AQ77" s="571"/>
    </row>
    <row r="78" spans="1:43">
      <c r="B78" s="578">
        <v>3</v>
      </c>
      <c r="C78" s="581" t="s">
        <v>602</v>
      </c>
      <c r="D78" s="581" t="str">
        <f>VLOOKUP($D$77,'SUNY Excels Dashboard'!$B:$U,B78,0)</f>
        <v>Success</v>
      </c>
      <c r="L78" s="581" t="s">
        <v>602</v>
      </c>
      <c r="M78" s="581" t="str">
        <f>VLOOKUP($M$77,'SUNY Excels Dashboard'!$B:$U,B78,0)</f>
        <v>Success</v>
      </c>
      <c r="R78" s="581" t="s">
        <v>602</v>
      </c>
      <c r="S78" s="581" t="str">
        <f>VLOOKUP(S77,'SUNY Excels Dashboard'!$B:$U,$B78,0)</f>
        <v>Success</v>
      </c>
      <c r="Y78" s="574"/>
      <c r="Z78" s="574"/>
      <c r="AA78" s="574"/>
      <c r="AB78" s="574"/>
      <c r="AC78" s="575"/>
      <c r="AD78" s="575"/>
      <c r="AE78" s="575"/>
      <c r="AF78" s="575"/>
      <c r="AG78" s="575"/>
      <c r="AH78" s="575"/>
      <c r="AI78" s="575"/>
      <c r="AJ78" s="575"/>
      <c r="AK78" s="575"/>
      <c r="AL78" s="575"/>
      <c r="AM78" s="575"/>
      <c r="AN78" s="575"/>
      <c r="AO78" s="575"/>
      <c r="AP78" s="574"/>
      <c r="AQ78" s="574"/>
    </row>
    <row r="79" spans="1:43">
      <c r="B79" s="578">
        <v>10</v>
      </c>
      <c r="C79" s="581" t="s">
        <v>600</v>
      </c>
      <c r="D79" s="591" t="str">
        <f>+"Default Rates - "&amp;IF(K5="SUNY Totals", "SUNY Totals","Campus")</f>
        <v>Default Rates - Campus</v>
      </c>
      <c r="L79" s="581" t="s">
        <v>600</v>
      </c>
      <c r="M79" s="581" t="str">
        <f>VLOOKUP($M$77,'SUNY Excels Dashboard'!$B:$U,B79,0)</f>
        <v>Student Default Rates - State Operated1</v>
      </c>
      <c r="R79" s="581" t="s">
        <v>600</v>
      </c>
      <c r="S79" s="581" t="str">
        <f>VLOOKUP(S77,'SUNY Excels Dashboard'!$B:$U,$B79,0)</f>
        <v>Student Default Rates - Community Colleges1</v>
      </c>
      <c r="Y79" s="574"/>
      <c r="Z79" s="574"/>
      <c r="AA79" s="574"/>
      <c r="AB79" s="574"/>
      <c r="AC79" s="575"/>
      <c r="AD79" s="575"/>
      <c r="AE79" s="575"/>
      <c r="AF79" s="575"/>
      <c r="AG79" s="575"/>
      <c r="AH79" s="575"/>
      <c r="AI79" s="575"/>
      <c r="AJ79" s="575"/>
      <c r="AK79" s="575"/>
      <c r="AL79" s="575"/>
      <c r="AM79" s="575"/>
      <c r="AN79" s="575"/>
      <c r="AO79" s="575"/>
      <c r="AP79" s="574"/>
      <c r="AQ79" s="574"/>
    </row>
    <row r="80" spans="1:43">
      <c r="B80" s="578">
        <v>4</v>
      </c>
      <c r="C80" s="581" t="s">
        <v>608</v>
      </c>
      <c r="D80" s="581" t="str">
        <f>VLOOKUP($D$77,'SUNY Excels Dashboard'!$B:$U,B80,0)</f>
        <v>0.0%</v>
      </c>
      <c r="L80" s="581" t="s">
        <v>608</v>
      </c>
      <c r="M80" s="581" t="str">
        <f>VLOOKUP($M$77,'SUNY Excels Dashboard'!$B:$U,B80,0)</f>
        <v>0.0%</v>
      </c>
      <c r="R80" s="581" t="s">
        <v>608</v>
      </c>
      <c r="S80" s="581" t="str">
        <f>VLOOKUP(S77,'SUNY Excels Dashboard'!$B:$U,$B80,0)</f>
        <v>0.0%</v>
      </c>
      <c r="Y80" s="574"/>
      <c r="Z80" s="574"/>
      <c r="AA80" s="574"/>
      <c r="AB80" s="574"/>
      <c r="AC80" s="575"/>
      <c r="AD80" s="575"/>
      <c r="AE80" s="575"/>
      <c r="AF80" s="575"/>
      <c r="AG80" s="575"/>
      <c r="AH80" s="575"/>
      <c r="AI80" s="575"/>
      <c r="AJ80" s="575"/>
      <c r="AK80" s="575"/>
      <c r="AL80" s="575"/>
      <c r="AM80" s="575"/>
      <c r="AN80" s="575"/>
      <c r="AO80" s="575"/>
      <c r="AP80" s="574"/>
      <c r="AQ80" s="574"/>
    </row>
    <row r="81" spans="2:43">
      <c r="B81" s="578">
        <v>6</v>
      </c>
      <c r="C81" s="581" t="s">
        <v>621</v>
      </c>
      <c r="D81" s="591" t="str">
        <f>VLOOKUP($D$77,'SUNY Excels Dashboard'!$B:$U,B81,0)</f>
        <v>bar, with legend</v>
      </c>
      <c r="L81" s="581" t="s">
        <v>621</v>
      </c>
      <c r="M81" s="591" t="str">
        <f>VLOOKUP($M$77,'SUNY Excels Dashboard'!$B:$U,B81,0)</f>
        <v>bar, with legend</v>
      </c>
      <c r="R81" s="581" t="s">
        <v>621</v>
      </c>
      <c r="S81" s="591" t="str">
        <f>VLOOKUP(S77,'SUNY Excels Dashboard'!$B:$U,$B81,0)</f>
        <v>bar, with legend</v>
      </c>
      <c r="Y81" s="574"/>
      <c r="Z81" s="574"/>
      <c r="AA81" s="574"/>
      <c r="AB81" s="574"/>
      <c r="AC81" s="575"/>
      <c r="AD81" s="575"/>
      <c r="AE81" s="575"/>
      <c r="AF81" s="575"/>
      <c r="AG81" s="575"/>
      <c r="AH81" s="575"/>
      <c r="AI81" s="575"/>
      <c r="AJ81" s="575"/>
      <c r="AK81" s="575"/>
      <c r="AL81" s="575"/>
      <c r="AM81" s="575"/>
      <c r="AN81" s="575"/>
      <c r="AO81" s="575"/>
      <c r="AP81" s="574"/>
      <c r="AQ81" s="574"/>
    </row>
    <row r="82" spans="2:43">
      <c r="B82" s="578">
        <v>5</v>
      </c>
      <c r="C82" s="581" t="s">
        <v>613</v>
      </c>
      <c r="D82" s="581" t="str">
        <f>VLOOKUP($D$77,'SUNY Excels Dashboard'!$B:$U,B82,0)</f>
        <v>Fiscal Year</v>
      </c>
      <c r="L82" s="581" t="s">
        <v>613</v>
      </c>
      <c r="M82" s="581" t="str">
        <f>VLOOKUP($M$77,'SUNY Excels Dashboard'!$B:$U,B82,0)</f>
        <v>Fiscal Year</v>
      </c>
      <c r="R82" s="581" t="s">
        <v>613</v>
      </c>
      <c r="S82" s="581" t="str">
        <f>VLOOKUP(S77,'SUNY Excels Dashboard'!$B:$U,$B82,0)</f>
        <v>Fiscal Year</v>
      </c>
      <c r="Y82" s="574"/>
      <c r="Z82" s="574"/>
      <c r="AA82" s="574"/>
      <c r="AB82" s="574"/>
      <c r="AC82" s="575"/>
      <c r="AD82" s="575"/>
      <c r="AE82" s="575"/>
      <c r="AF82" s="575"/>
      <c r="AG82" s="575"/>
      <c r="AH82" s="575"/>
      <c r="AI82" s="575"/>
      <c r="AJ82" s="575"/>
      <c r="AK82" s="575"/>
      <c r="AL82" s="575"/>
      <c r="AM82" s="575"/>
      <c r="AN82" s="575"/>
      <c r="AO82" s="575"/>
      <c r="AP82" s="574"/>
      <c r="AQ82" s="574"/>
    </row>
    <row r="83" spans="2:43">
      <c r="C83" s="581" t="s">
        <v>606</v>
      </c>
      <c r="D83" s="581" t="str">
        <f>+D78&amp;CHAR(10)&amp;D79</f>
        <v>Success
Default Rates - Campus</v>
      </c>
      <c r="L83" s="581" t="s">
        <v>606</v>
      </c>
      <c r="M83" s="581" t="str">
        <f>+M78&amp;CHAR(10)&amp;M79</f>
        <v>Success
Student Default Rates - State Operated1</v>
      </c>
      <c r="R83" s="581" t="s">
        <v>606</v>
      </c>
      <c r="S83" s="581" t="str">
        <f>+S78&amp;CHAR(10)&amp;S79</f>
        <v>Success
Student Default Rates - Community Colleges1</v>
      </c>
      <c r="Y83" s="574"/>
      <c r="Z83" s="574"/>
      <c r="AA83" s="574"/>
      <c r="AB83" s="574"/>
      <c r="AC83" s="575"/>
      <c r="AD83" s="575"/>
      <c r="AE83" s="575"/>
      <c r="AF83" s="575"/>
      <c r="AG83" s="575"/>
      <c r="AH83" s="575"/>
      <c r="AI83" s="575"/>
      <c r="AJ83" s="575"/>
      <c r="AK83" s="575"/>
      <c r="AL83" s="575"/>
      <c r="AM83" s="575"/>
      <c r="AN83" s="575"/>
      <c r="AO83" s="575"/>
      <c r="AP83" s="574"/>
      <c r="AQ83" s="574"/>
    </row>
    <row r="84" spans="2:43">
      <c r="C84" s="584"/>
      <c r="D84" s="584"/>
      <c r="L84" s="584"/>
      <c r="M84" s="584"/>
      <c r="R84" s="584"/>
      <c r="S84" s="584"/>
      <c r="Y84" s="574"/>
      <c r="Z84" s="574"/>
      <c r="AA84" s="574"/>
      <c r="AB84" s="574"/>
      <c r="AC84" s="575"/>
      <c r="AD84" s="575"/>
      <c r="AE84" s="575"/>
      <c r="AF84" s="575"/>
      <c r="AG84" s="575"/>
      <c r="AH84" s="575"/>
      <c r="AI84" s="575"/>
      <c r="AJ84" s="575"/>
      <c r="AK84" s="575"/>
      <c r="AL84" s="575"/>
      <c r="AM84" s="575"/>
      <c r="AN84" s="575"/>
      <c r="AO84" s="575"/>
      <c r="AP84" s="574"/>
      <c r="AQ84" s="574"/>
    </row>
    <row r="85" spans="2:43">
      <c r="C85" s="584"/>
      <c r="D85" s="584" t="s">
        <v>605</v>
      </c>
      <c r="E85" s="584" t="s">
        <v>607</v>
      </c>
      <c r="F85" s="581" t="s">
        <v>603</v>
      </c>
      <c r="G85" s="581" t="s">
        <v>604</v>
      </c>
      <c r="H85" s="620" t="s">
        <v>643</v>
      </c>
      <c r="L85" s="584"/>
      <c r="M85" s="584" t="s">
        <v>605</v>
      </c>
      <c r="N85" s="584" t="s">
        <v>607</v>
      </c>
      <c r="O85" s="581" t="s">
        <v>603</v>
      </c>
      <c r="P85" s="581" t="s">
        <v>604</v>
      </c>
      <c r="Q85" s="620" t="s">
        <v>643</v>
      </c>
      <c r="R85" s="584"/>
      <c r="S85" s="584" t="s">
        <v>605</v>
      </c>
      <c r="T85" s="584" t="s">
        <v>607</v>
      </c>
      <c r="U85" s="581" t="s">
        <v>603</v>
      </c>
      <c r="V85" s="581" t="s">
        <v>604</v>
      </c>
      <c r="W85" s="620" t="s">
        <v>643</v>
      </c>
      <c r="Y85" s="574"/>
      <c r="Z85" s="574"/>
      <c r="AA85" s="574"/>
      <c r="AB85" s="574"/>
      <c r="AC85" s="575"/>
      <c r="AD85" s="575"/>
      <c r="AE85" s="575"/>
      <c r="AF85" s="575"/>
      <c r="AG85" s="575"/>
      <c r="AH85" s="575"/>
      <c r="AI85" s="575"/>
      <c r="AJ85" s="575"/>
      <c r="AK85" s="575"/>
      <c r="AL85" s="575"/>
      <c r="AM85" s="575"/>
      <c r="AN85" s="575"/>
      <c r="AO85" s="575"/>
      <c r="AP85" s="574"/>
      <c r="AQ85" s="574"/>
    </row>
    <row r="86" spans="2:43">
      <c r="C86" s="584" t="s">
        <v>64</v>
      </c>
      <c r="D86" s="584" t="s">
        <v>49</v>
      </c>
      <c r="E86" s="586">
        <f>INDEX('SUNY Excels Dashboard'!$B$2:$U$67,MATCH(D77,'SUNY Excels Dashboard'!$B$2:$B$67,0),MATCH($D86,'SUNY Excels Dashboard'!$B$2:$U$2,0))</f>
        <v>0.14699999999999999</v>
      </c>
      <c r="F86" s="581" t="str">
        <f>IF(RIGHT($D$19,4)="year",C86,RIGHT(D86,4))</f>
        <v>2009</v>
      </c>
      <c r="G86" s="581">
        <f t="shared" ref="G86:G90" si="25">IF(+E86="-",NA(),E86)</f>
        <v>0.14699999999999999</v>
      </c>
      <c r="H86" s="628" t="s">
        <v>187</v>
      </c>
      <c r="I86" s="628"/>
      <c r="J86" s="628"/>
      <c r="L86" s="584" t="s">
        <v>64</v>
      </c>
      <c r="M86" s="584" t="s">
        <v>49</v>
      </c>
      <c r="N86" s="586">
        <f>INDEX('SUNY Excels Dashboard'!$B$2:$U$67,MATCH(M77,'SUNY Excels Dashboard'!$B$2:$B$67,0),MATCH($D86,'SUNY Excels Dashboard'!$B$2:$U$2,0))</f>
        <v>7.3925104022191407E-2</v>
      </c>
      <c r="O86" s="581" t="str">
        <f>IF(RIGHT($D$19,4)="year",L86,RIGHT(M86,4))</f>
        <v>2009</v>
      </c>
      <c r="P86" s="581">
        <f t="shared" ref="P86:P90" si="26">IF(+N86="-",NA(),N86)</f>
        <v>7.3925104022191407E-2</v>
      </c>
      <c r="Q86" s="620">
        <v>7.9000000000000001E-2</v>
      </c>
      <c r="R86" s="584" t="s">
        <v>64</v>
      </c>
      <c r="S86" s="584" t="s">
        <v>49</v>
      </c>
      <c r="T86" s="629">
        <f>INDEX('SUNY Excels Dashboard'!$B$2:$U$67,MATCH(S77,'SUNY Excels Dashboard'!$B$2:$B$67,0),MATCH($D86,'SUNY Excels Dashboard'!$B$2:$U$2,0))</f>
        <v>0.17913189687383235</v>
      </c>
      <c r="U86" s="581" t="str">
        <f>IF(RIGHT($D$19,4)="year",R86,RIGHT(S86,4))</f>
        <v>2009</v>
      </c>
      <c r="V86" s="630">
        <f>IF(+T86="-",NA(),T86)</f>
        <v>0.17913189687383235</v>
      </c>
      <c r="W86" s="620">
        <v>0.183</v>
      </c>
      <c r="Y86" s="574"/>
      <c r="Z86" s="574"/>
      <c r="AA86" s="574"/>
      <c r="AB86" s="574"/>
      <c r="AC86" s="575"/>
      <c r="AD86" s="575"/>
      <c r="AE86" s="575"/>
      <c r="AF86" s="575"/>
      <c r="AG86" s="575"/>
      <c r="AH86" s="575"/>
      <c r="AI86" s="575"/>
      <c r="AJ86" s="575"/>
      <c r="AK86" s="575"/>
      <c r="AL86" s="575"/>
      <c r="AM86" s="575"/>
      <c r="AN86" s="575"/>
      <c r="AO86" s="575"/>
      <c r="AP86" s="574"/>
      <c r="AQ86" s="574"/>
    </row>
    <row r="87" spans="2:43">
      <c r="C87" s="584" t="s">
        <v>65</v>
      </c>
      <c r="D87" s="584" t="s">
        <v>50</v>
      </c>
      <c r="E87" s="586">
        <f>INDEX('SUNY Excels Dashboard'!$B$2:$U$67,MATCH(D77,'SUNY Excels Dashboard'!$B$2:$B$67,0),MATCH($D87,'SUNY Excels Dashboard'!$B$2:$U$2,0))</f>
        <v>0.182</v>
      </c>
      <c r="F87" s="581" t="str">
        <f>IF(RIGHT($D$19,4)="year",C87,RIGHT(D87,4))</f>
        <v>2010</v>
      </c>
      <c r="G87" s="581">
        <f t="shared" si="25"/>
        <v>0.182</v>
      </c>
      <c r="H87" s="628" t="s">
        <v>187</v>
      </c>
      <c r="I87" s="628"/>
      <c r="J87" s="628"/>
      <c r="L87" s="584" t="s">
        <v>65</v>
      </c>
      <c r="M87" s="584" t="s">
        <v>50</v>
      </c>
      <c r="N87" s="586">
        <f>INDEX('SUNY Excels Dashboard'!$B$2:$U$67,MATCH(M77,'SUNY Excels Dashboard'!$B$2:$B$67,0),MATCH($D87,'SUNY Excels Dashboard'!$B$2:$U$2,0))</f>
        <v>7.9360484535393794E-2</v>
      </c>
      <c r="O87" s="581" t="str">
        <f>IF(RIGHT($D$19,4)="year",L87,RIGHT(M87,4))</f>
        <v>2010</v>
      </c>
      <c r="P87" s="581">
        <f t="shared" si="26"/>
        <v>7.9360484535393794E-2</v>
      </c>
      <c r="Q87" s="620">
        <v>9.2999999999999999E-2</v>
      </c>
      <c r="R87" s="584" t="s">
        <v>65</v>
      </c>
      <c r="S87" s="584" t="s">
        <v>50</v>
      </c>
      <c r="T87" s="629">
        <f>INDEX('SUNY Excels Dashboard'!$B$2:$U$67,MATCH(S77,'SUNY Excels Dashboard'!$B$2:$B$67,0),MATCH($D87,'SUNY Excels Dashboard'!$B$2:$U$2,0))</f>
        <v>0.19739167017248632</v>
      </c>
      <c r="U87" s="581" t="str">
        <f>IF(RIGHT($D$19,4)="year",R87,RIGHT(S87,4))</f>
        <v>2010</v>
      </c>
      <c r="V87" s="630">
        <f t="shared" ref="V87:V90" si="27">IF(+T87="-",NA(),T87)</f>
        <v>0.19739167017248632</v>
      </c>
      <c r="W87" s="620">
        <v>0.20899999999999999</v>
      </c>
      <c r="Y87" s="574"/>
      <c r="Z87" s="574"/>
      <c r="AA87" s="574"/>
      <c r="AB87" s="574"/>
      <c r="AC87" s="575"/>
      <c r="AD87" s="575"/>
      <c r="AE87" s="575"/>
      <c r="AF87" s="575"/>
      <c r="AG87" s="575"/>
      <c r="AH87" s="575"/>
      <c r="AI87" s="575"/>
      <c r="AJ87" s="575"/>
      <c r="AK87" s="575"/>
      <c r="AL87" s="575"/>
      <c r="AM87" s="575"/>
      <c r="AN87" s="575"/>
      <c r="AO87" s="575"/>
      <c r="AP87" s="574"/>
      <c r="AQ87" s="574"/>
    </row>
    <row r="88" spans="2:43">
      <c r="C88" s="584" t="s">
        <v>66</v>
      </c>
      <c r="D88" s="584" t="s">
        <v>51</v>
      </c>
      <c r="E88" s="586">
        <f>INDEX('SUNY Excels Dashboard'!$B$2:$U$67,MATCH(D77,'SUNY Excels Dashboard'!$B$2:$B$67,0),MATCH($D88,'SUNY Excels Dashboard'!$B$2:$U$2,0))</f>
        <v>0.17399999999999999</v>
      </c>
      <c r="F88" s="581" t="str">
        <f>IF(RIGHT($D$19,4)="year",C88,RIGHT(D88,4))</f>
        <v>2011</v>
      </c>
      <c r="G88" s="581">
        <f t="shared" si="25"/>
        <v>0.17399999999999999</v>
      </c>
      <c r="H88" s="628" t="s">
        <v>187</v>
      </c>
      <c r="I88" s="628"/>
      <c r="J88" s="628"/>
      <c r="L88" s="584" t="s">
        <v>66</v>
      </c>
      <c r="M88" s="584" t="s">
        <v>51</v>
      </c>
      <c r="N88" s="586">
        <f>INDEX('SUNY Excels Dashboard'!$B$2:$U$67,MATCH(M77,'SUNY Excels Dashboard'!$B$2:$B$67,0),MATCH($D88,'SUNY Excels Dashboard'!$B$2:$U$2,0))</f>
        <v>6.987587165906628E-2</v>
      </c>
      <c r="O88" s="581" t="str">
        <f>IF(RIGHT($D$19,4)="year",L88,RIGHT(M88,4))</f>
        <v>2011</v>
      </c>
      <c r="P88" s="581">
        <f t="shared" si="26"/>
        <v>6.987587165906628E-2</v>
      </c>
      <c r="Q88" s="620">
        <v>8.8999999999999996E-2</v>
      </c>
      <c r="R88" s="584" t="s">
        <v>66</v>
      </c>
      <c r="S88" s="584" t="s">
        <v>51</v>
      </c>
      <c r="T88" s="629">
        <f>INDEX('SUNY Excels Dashboard'!$B$2:$U$67,MATCH(S77,'SUNY Excels Dashboard'!$B$2:$B$67,0),MATCH($D88,'SUNY Excels Dashboard'!$B$2:$U$2,0))</f>
        <v>0.17384615384615384</v>
      </c>
      <c r="U88" s="581" t="str">
        <f>IF(RIGHT($D$19,4)="year",R88,RIGHT(S88,4))</f>
        <v>2011</v>
      </c>
      <c r="V88" s="630">
        <f t="shared" si="27"/>
        <v>0.17384615384615384</v>
      </c>
      <c r="W88" s="620">
        <v>0.20599999999999999</v>
      </c>
      <c r="Y88" s="574"/>
      <c r="Z88" s="574"/>
      <c r="AA88" s="574"/>
      <c r="AB88" s="574"/>
      <c r="AC88" s="575"/>
      <c r="AD88" s="575"/>
      <c r="AE88" s="575"/>
      <c r="AF88" s="575"/>
      <c r="AG88" s="575"/>
      <c r="AH88" s="575"/>
      <c r="AI88" s="575"/>
      <c r="AJ88" s="575"/>
      <c r="AK88" s="575"/>
      <c r="AL88" s="575"/>
      <c r="AM88" s="575"/>
      <c r="AN88" s="575"/>
      <c r="AO88" s="575"/>
      <c r="AP88" s="574"/>
      <c r="AQ88" s="574"/>
    </row>
    <row r="89" spans="2:43">
      <c r="C89" s="584" t="s">
        <v>67</v>
      </c>
      <c r="D89" s="584" t="s">
        <v>52</v>
      </c>
      <c r="E89" s="586" t="str">
        <f>INDEX('SUNY Excels Dashboard'!$B$2:$U$67,MATCH(D77,'SUNY Excels Dashboard'!$B$2:$B$67,0),MATCH($D89,'SUNY Excels Dashboard'!$B$2:$U$2,0))</f>
        <v>-</v>
      </c>
      <c r="F89" s="581" t="str">
        <f>IF(RIGHT($D$19,4)="year",C89,RIGHT(D89,4))</f>
        <v>2012</v>
      </c>
      <c r="G89" s="581" t="e">
        <f t="shared" si="25"/>
        <v>#N/A</v>
      </c>
      <c r="H89" s="628" t="s">
        <v>187</v>
      </c>
      <c r="I89" s="628"/>
      <c r="J89" s="628"/>
      <c r="L89" s="584" t="s">
        <v>67</v>
      </c>
      <c r="M89" s="584" t="s">
        <v>52</v>
      </c>
      <c r="N89" s="586" t="str">
        <f>INDEX('SUNY Excels Dashboard'!$B$2:$U$67,MATCH(M77,'SUNY Excels Dashboard'!$B$2:$B$67,0),MATCH($D89,'SUNY Excels Dashboard'!$B$2:$U$2,0))</f>
        <v>-</v>
      </c>
      <c r="O89" s="581" t="str">
        <f>IF(RIGHT($D$19,4)="year",L89,RIGHT(M89,4))</f>
        <v>2012</v>
      </c>
      <c r="P89" s="581" t="e">
        <f t="shared" si="26"/>
        <v>#N/A</v>
      </c>
      <c r="Q89" s="628" t="s">
        <v>187</v>
      </c>
      <c r="R89" s="584" t="s">
        <v>67</v>
      </c>
      <c r="S89" s="584" t="s">
        <v>52</v>
      </c>
      <c r="T89" s="629" t="str">
        <f>INDEX('SUNY Excels Dashboard'!$B$2:$U$67,MATCH(S77,'SUNY Excels Dashboard'!$B$2:$B$67,0),MATCH($D89,'SUNY Excels Dashboard'!$B$2:$U$2,0))</f>
        <v>-</v>
      </c>
      <c r="U89" s="581" t="str">
        <f>IF(RIGHT($D$19,4)="year",R89,RIGHT(S89,4))</f>
        <v>2012</v>
      </c>
      <c r="V89" s="630" t="e">
        <f t="shared" si="27"/>
        <v>#N/A</v>
      </c>
      <c r="W89" s="628" t="s">
        <v>187</v>
      </c>
      <c r="Y89" s="574"/>
      <c r="Z89" s="574"/>
      <c r="AA89" s="574"/>
      <c r="AB89" s="574"/>
      <c r="AC89" s="575"/>
      <c r="AD89" s="575"/>
      <c r="AE89" s="575"/>
      <c r="AF89" s="575"/>
      <c r="AG89" s="575"/>
      <c r="AH89" s="575"/>
      <c r="AI89" s="575"/>
      <c r="AJ89" s="575"/>
      <c r="AK89" s="575"/>
      <c r="AL89" s="575"/>
      <c r="AM89" s="575"/>
      <c r="AN89" s="575"/>
      <c r="AO89" s="575"/>
      <c r="AP89" s="574"/>
      <c r="AQ89" s="574"/>
    </row>
    <row r="90" spans="2:43">
      <c r="C90" s="584" t="s">
        <v>68</v>
      </c>
      <c r="D90" s="584" t="s">
        <v>53</v>
      </c>
      <c r="E90" s="586" t="str">
        <f>INDEX('SUNY Excels Dashboard'!$B$2:$U$67,MATCH(D77,'SUNY Excels Dashboard'!$B$2:$B$67,0),MATCH($D90,'SUNY Excels Dashboard'!$B$2:$U$2,0))</f>
        <v>-</v>
      </c>
      <c r="F90" s="581" t="str">
        <f t="shared" ref="F90:F94" si="28">IF(RIGHT($D$19,4)="year",C90,RIGHT(D90,4))</f>
        <v>2013</v>
      </c>
      <c r="G90" s="581" t="e">
        <f t="shared" si="25"/>
        <v>#N/A</v>
      </c>
      <c r="H90" s="628" t="s">
        <v>187</v>
      </c>
      <c r="I90" s="628"/>
      <c r="J90" s="628"/>
      <c r="L90" s="584" t="s">
        <v>68</v>
      </c>
      <c r="M90" s="584" t="s">
        <v>53</v>
      </c>
      <c r="N90" s="586" t="str">
        <f>INDEX('SUNY Excels Dashboard'!$B$2:$U$67,MATCH(M77,'SUNY Excels Dashboard'!$B$2:$B$67,0),MATCH($D90,'SUNY Excels Dashboard'!$B$2:$U$2,0))</f>
        <v>-</v>
      </c>
      <c r="O90" s="581" t="str">
        <f t="shared" ref="O90:O94" si="29">IF(RIGHT($D$19,4)="year",L90,RIGHT(M90,4))</f>
        <v>2013</v>
      </c>
      <c r="P90" s="581" t="e">
        <f t="shared" si="26"/>
        <v>#N/A</v>
      </c>
      <c r="Q90" s="628" t="s">
        <v>187</v>
      </c>
      <c r="R90" s="584" t="s">
        <v>68</v>
      </c>
      <c r="S90" s="584" t="s">
        <v>53</v>
      </c>
      <c r="T90" s="629" t="str">
        <f>INDEX('SUNY Excels Dashboard'!$B$2:$U$67,MATCH(S77,'SUNY Excels Dashboard'!$B$2:$B$67,0),MATCH($D90,'SUNY Excels Dashboard'!$B$2:$U$2,0))</f>
        <v>-</v>
      </c>
      <c r="U90" s="581" t="str">
        <f t="shared" ref="U90:U94" si="30">IF(RIGHT($D$19,4)="year",R90,RIGHT(S90,4))</f>
        <v>2013</v>
      </c>
      <c r="V90" s="630" t="e">
        <f t="shared" si="27"/>
        <v>#N/A</v>
      </c>
      <c r="W90" s="628" t="s">
        <v>187</v>
      </c>
      <c r="Y90" s="574"/>
      <c r="Z90" s="574"/>
      <c r="AA90" s="574"/>
      <c r="AB90" s="574"/>
      <c r="AC90" s="575"/>
      <c r="AD90" s="575"/>
      <c r="AE90" s="575"/>
      <c r="AF90" s="575"/>
      <c r="AG90" s="575"/>
      <c r="AH90" s="575"/>
      <c r="AI90" s="575"/>
      <c r="AJ90" s="575"/>
      <c r="AK90" s="575"/>
      <c r="AL90" s="575"/>
      <c r="AM90" s="575"/>
      <c r="AN90" s="575"/>
      <c r="AO90" s="575"/>
      <c r="AP90" s="574"/>
      <c r="AQ90" s="574"/>
    </row>
    <row r="91" spans="2:43">
      <c r="C91" s="587" t="s">
        <v>508</v>
      </c>
      <c r="D91" s="587" t="s">
        <v>261</v>
      </c>
      <c r="E91" s="588" t="str">
        <f>INDEX('SUNY Excels Dashboard'!$B$2:$U$67,MATCH(D77,'SUNY Excels Dashboard'!$B$2:$B$67,0),MATCH($D91,'SUNY Excels Dashboard'!$B$2:$U$2,0))</f>
        <v>-</v>
      </c>
      <c r="F91" s="581" t="str">
        <f t="shared" si="28"/>
        <v>2014</v>
      </c>
      <c r="G91" s="581" t="e">
        <f>IF(OR(+E91="-",+E91="n/a",+E91=""),NA(),E91)</f>
        <v>#N/A</v>
      </c>
      <c r="H91" s="628" t="s">
        <v>187</v>
      </c>
      <c r="I91" s="628"/>
      <c r="J91" s="628"/>
      <c r="L91" s="587" t="s">
        <v>508</v>
      </c>
      <c r="M91" s="587" t="s">
        <v>261</v>
      </c>
      <c r="N91" s="588" t="str">
        <f>INDEX('SUNY Excels Dashboard'!$B$2:$U$67,MATCH(M77,'SUNY Excels Dashboard'!$B$2:$B$67,0),MATCH($D91,'SUNY Excels Dashboard'!$B$2:$U$2,0))</f>
        <v>-</v>
      </c>
      <c r="O91" s="581" t="str">
        <f t="shared" si="29"/>
        <v>2014</v>
      </c>
      <c r="P91" s="581" t="e">
        <f>IF(OR(+N91="-",+N91="n/a",+N91=""),NA(),N91)</f>
        <v>#N/A</v>
      </c>
      <c r="Q91" s="628" t="s">
        <v>187</v>
      </c>
      <c r="R91" s="587" t="s">
        <v>508</v>
      </c>
      <c r="S91" s="587" t="s">
        <v>261</v>
      </c>
      <c r="T91" s="631" t="str">
        <f>INDEX('SUNY Excels Dashboard'!$B$2:$U$67,MATCH(S77,'SUNY Excels Dashboard'!$B$2:$B$67,0),MATCH($D91,'SUNY Excels Dashboard'!$B$2:$U$2,0))</f>
        <v>-</v>
      </c>
      <c r="U91" s="581" t="str">
        <f t="shared" si="30"/>
        <v>2014</v>
      </c>
      <c r="V91" s="630" t="e">
        <f>IF(OR(+T91="-",+T91="n/a",+T91=""),NA(),T91)</f>
        <v>#N/A</v>
      </c>
      <c r="W91" s="628" t="s">
        <v>187</v>
      </c>
      <c r="Y91" s="574"/>
      <c r="Z91" s="574"/>
      <c r="AA91" s="574"/>
      <c r="AB91" s="574"/>
      <c r="AC91" s="575"/>
      <c r="AD91" s="575"/>
      <c r="AE91" s="575"/>
      <c r="AF91" s="575"/>
      <c r="AG91" s="575"/>
      <c r="AH91" s="575"/>
      <c r="AI91" s="575"/>
      <c r="AJ91" s="575"/>
      <c r="AK91" s="575"/>
      <c r="AL91" s="575"/>
      <c r="AM91" s="575"/>
      <c r="AN91" s="575"/>
      <c r="AO91" s="575"/>
      <c r="AP91" s="574"/>
      <c r="AQ91" s="574"/>
    </row>
    <row r="92" spans="2:43" hidden="1">
      <c r="C92" s="589" t="s">
        <v>593</v>
      </c>
      <c r="D92" s="589" t="s">
        <v>224</v>
      </c>
      <c r="E92" s="590" t="e">
        <f>INDEX('SUNY Excels Dashboard'!$B$2:$U$67,MATCH(D77,'SUNY Excels Dashboard'!$B$2:$B$67,0),MATCH($D92,'SUNY Excels Dashboard'!$B$2:$U$2,0))</f>
        <v>#N/A</v>
      </c>
      <c r="F92" s="581" t="str">
        <f t="shared" si="28"/>
        <v>2015</v>
      </c>
      <c r="G92" s="581" t="e">
        <f t="shared" ref="G92:G94" si="31">IF(OR(+E92="-",+E92=""),NA(),E92)</f>
        <v>#N/A</v>
      </c>
      <c r="L92" s="589" t="s">
        <v>593</v>
      </c>
      <c r="M92" s="589" t="s">
        <v>224</v>
      </c>
      <c r="N92" s="590" t="e">
        <f>INDEX('SUNY Excels Dashboard'!$B$2:$U$67,MATCH(M77,'SUNY Excels Dashboard'!$B$2:$B$67,0),MATCH($D92,'SUNY Excels Dashboard'!$B$2:$U$2,0))</f>
        <v>#N/A</v>
      </c>
      <c r="O92" s="581" t="str">
        <f t="shared" si="29"/>
        <v>2015</v>
      </c>
      <c r="P92" s="581" t="e">
        <f t="shared" ref="P92:P94" si="32">IF(OR(+N92="-",+N92=""),NA(),N92)</f>
        <v>#N/A</v>
      </c>
      <c r="R92" s="589" t="s">
        <v>593</v>
      </c>
      <c r="S92" s="589" t="s">
        <v>224</v>
      </c>
      <c r="T92" s="590" t="e">
        <f>INDEX('SUNY Excels Dashboard'!$B$2:$U$67,MATCH(S77,'SUNY Excels Dashboard'!$B$2:$B$67,0),MATCH($D92,'SUNY Excels Dashboard'!$B$2:$U$2,0))</f>
        <v>#N/A</v>
      </c>
      <c r="U92" s="581" t="str">
        <f t="shared" si="30"/>
        <v>2015</v>
      </c>
      <c r="V92" s="581" t="e">
        <f t="shared" ref="V92:V94" si="33">IF(OR(+T92="-",+T92=""),NA(),T92)</f>
        <v>#N/A</v>
      </c>
      <c r="Y92" s="574"/>
      <c r="Z92" s="574"/>
      <c r="AA92" s="574"/>
      <c r="AB92" s="574"/>
      <c r="AC92" s="575"/>
      <c r="AD92" s="575"/>
      <c r="AE92" s="575"/>
      <c r="AF92" s="575"/>
      <c r="AG92" s="575"/>
      <c r="AH92" s="575"/>
      <c r="AI92" s="575"/>
      <c r="AJ92" s="575"/>
      <c r="AK92" s="575"/>
      <c r="AL92" s="575"/>
      <c r="AM92" s="575"/>
      <c r="AN92" s="575"/>
      <c r="AO92" s="575"/>
      <c r="AP92" s="574"/>
      <c r="AQ92" s="574"/>
    </row>
    <row r="93" spans="2:43" hidden="1">
      <c r="C93" s="589" t="s">
        <v>617</v>
      </c>
      <c r="D93" s="589" t="s">
        <v>257</v>
      </c>
      <c r="E93" s="590">
        <f>INDEX('SUNY Excels Dashboard'!$B$2:$U$67,MATCH(D77,'SUNY Excels Dashboard'!$B$2:$B$67,0),MATCH($D93,'SUNY Excels Dashboard'!$B$2:$U$2,0))</f>
        <v>0.15</v>
      </c>
      <c r="F93" s="581" t="str">
        <f t="shared" si="28"/>
        <v>2018</v>
      </c>
      <c r="G93" s="581">
        <f t="shared" si="31"/>
        <v>0.15</v>
      </c>
      <c r="L93" s="589" t="s">
        <v>617</v>
      </c>
      <c r="M93" s="589" t="s">
        <v>257</v>
      </c>
      <c r="N93" s="590" t="str">
        <f>INDEX('SUNY Excels Dashboard'!$B$2:$U$67,MATCH(M77,'SUNY Excels Dashboard'!$B$2:$B$67,0),MATCH($D93,'SUNY Excels Dashboard'!$B$2:$U$2,0))</f>
        <v>-</v>
      </c>
      <c r="O93" s="581" t="str">
        <f t="shared" si="29"/>
        <v>2018</v>
      </c>
      <c r="P93" s="581" t="e">
        <f t="shared" si="32"/>
        <v>#N/A</v>
      </c>
      <c r="R93" s="589" t="s">
        <v>617</v>
      </c>
      <c r="S93" s="589" t="s">
        <v>257</v>
      </c>
      <c r="T93" s="590" t="str">
        <f>INDEX('SUNY Excels Dashboard'!$B$2:$U$67,MATCH(S77,'SUNY Excels Dashboard'!$B$2:$B$67,0),MATCH($D93,'SUNY Excels Dashboard'!$B$2:$U$2,0))</f>
        <v>-</v>
      </c>
      <c r="U93" s="581" t="str">
        <f t="shared" si="30"/>
        <v>2018</v>
      </c>
      <c r="V93" s="581" t="e">
        <f t="shared" si="33"/>
        <v>#N/A</v>
      </c>
      <c r="Y93" s="574"/>
      <c r="Z93" s="574"/>
      <c r="AA93" s="574"/>
      <c r="AB93" s="574"/>
      <c r="AC93" s="575"/>
      <c r="AD93" s="575"/>
      <c r="AE93" s="575"/>
      <c r="AF93" s="575"/>
      <c r="AG93" s="575"/>
      <c r="AH93" s="575"/>
      <c r="AI93" s="575"/>
      <c r="AJ93" s="575"/>
      <c r="AK93" s="575"/>
      <c r="AL93" s="575"/>
      <c r="AM93" s="575"/>
      <c r="AN93" s="575"/>
      <c r="AO93" s="575"/>
      <c r="AP93" s="574"/>
      <c r="AQ93" s="574"/>
    </row>
    <row r="94" spans="2:43" hidden="1">
      <c r="C94" s="589" t="s">
        <v>618</v>
      </c>
      <c r="D94" s="589" t="s">
        <v>226</v>
      </c>
      <c r="E94" s="590">
        <f>INDEX('SUNY Excels Dashboard'!$B$2:$U$67,MATCH(D77,'SUNY Excels Dashboard'!$B$2:$B$67,0),MATCH($D94,'SUNY Excels Dashboard'!$B$2:$U$2,0))</f>
        <v>0.13</v>
      </c>
      <c r="F94" s="581" t="str">
        <f t="shared" si="28"/>
        <v>2020</v>
      </c>
      <c r="G94" s="581">
        <f t="shared" si="31"/>
        <v>0.13</v>
      </c>
      <c r="L94" s="589" t="s">
        <v>618</v>
      </c>
      <c r="M94" s="589" t="s">
        <v>226</v>
      </c>
      <c r="N94" s="590" t="str">
        <f>INDEX('SUNY Excels Dashboard'!$B$2:$U$67,MATCH(M77,'SUNY Excels Dashboard'!$B$2:$B$67,0),MATCH($D94,'SUNY Excels Dashboard'!$B$2:$U$2,0))</f>
        <v>-</v>
      </c>
      <c r="O94" s="581" t="str">
        <f t="shared" si="29"/>
        <v>2020</v>
      </c>
      <c r="P94" s="581" t="e">
        <f t="shared" si="32"/>
        <v>#N/A</v>
      </c>
      <c r="R94" s="589" t="s">
        <v>618</v>
      </c>
      <c r="S94" s="589" t="s">
        <v>226</v>
      </c>
      <c r="T94" s="590" t="str">
        <f>INDEX('SUNY Excels Dashboard'!$B$2:$U$67,MATCH(S77,'SUNY Excels Dashboard'!$B$2:$B$67,0),MATCH($D94,'SUNY Excels Dashboard'!$B$2:$U$2,0))</f>
        <v>-</v>
      </c>
      <c r="U94" s="581" t="str">
        <f t="shared" si="30"/>
        <v>2020</v>
      </c>
      <c r="V94" s="581" t="e">
        <f t="shared" si="33"/>
        <v>#N/A</v>
      </c>
      <c r="Y94" s="574"/>
      <c r="Z94" s="574"/>
      <c r="AA94" s="574"/>
      <c r="AB94" s="574"/>
      <c r="AC94" s="575"/>
      <c r="AD94" s="575"/>
      <c r="AE94" s="575"/>
      <c r="AF94" s="575"/>
      <c r="AG94" s="575"/>
      <c r="AH94" s="575"/>
      <c r="AI94" s="575"/>
      <c r="AJ94" s="575"/>
      <c r="AK94" s="575"/>
      <c r="AL94" s="575"/>
      <c r="AM94" s="575"/>
      <c r="AN94" s="575"/>
      <c r="AO94" s="575"/>
      <c r="AP94" s="574"/>
      <c r="AQ94" s="574"/>
    </row>
    <row r="95" spans="2:43">
      <c r="Y95" s="574"/>
      <c r="Z95" s="574"/>
      <c r="AA95" s="574"/>
      <c r="AB95" s="574"/>
      <c r="AC95" s="575"/>
      <c r="AD95" s="575"/>
      <c r="AE95" s="575"/>
      <c r="AF95" s="575"/>
      <c r="AG95" s="575"/>
      <c r="AH95" s="575"/>
      <c r="AI95" s="575"/>
      <c r="AJ95" s="575"/>
      <c r="AK95" s="575"/>
      <c r="AL95" s="575"/>
      <c r="AM95" s="575"/>
      <c r="AN95" s="575"/>
      <c r="AO95" s="575"/>
      <c r="AP95" s="574"/>
      <c r="AQ95" s="574"/>
    </row>
    <row r="96" spans="2:43">
      <c r="Y96" s="574"/>
      <c r="Z96" s="574"/>
      <c r="AA96" s="574"/>
      <c r="AB96" s="574"/>
      <c r="AC96" s="575"/>
      <c r="AD96" s="575"/>
      <c r="AE96" s="575"/>
      <c r="AF96" s="575"/>
      <c r="AG96" s="575"/>
      <c r="AH96" s="575"/>
      <c r="AI96" s="575"/>
      <c r="AJ96" s="575"/>
      <c r="AK96" s="575"/>
      <c r="AL96" s="575"/>
      <c r="AM96" s="575"/>
      <c r="AN96" s="575"/>
      <c r="AO96" s="575"/>
      <c r="AP96" s="574"/>
      <c r="AQ96" s="574"/>
    </row>
    <row r="97" spans="2:43">
      <c r="Y97" s="574"/>
      <c r="Z97" s="574"/>
      <c r="AA97" s="574"/>
      <c r="AB97" s="574"/>
      <c r="AC97" s="575"/>
      <c r="AD97" s="575"/>
      <c r="AE97" s="575"/>
      <c r="AF97" s="575"/>
      <c r="AG97" s="575"/>
      <c r="AH97" s="575"/>
      <c r="AI97" s="575"/>
      <c r="AJ97" s="575"/>
      <c r="AK97" s="575"/>
      <c r="AL97" s="575"/>
      <c r="AM97" s="575"/>
      <c r="AN97" s="575"/>
      <c r="AO97" s="575"/>
      <c r="AP97" s="574"/>
      <c r="AQ97" s="574"/>
    </row>
    <row r="98" spans="2:43" ht="33" customHeight="1">
      <c r="Y98" s="574"/>
      <c r="Z98" s="574"/>
      <c r="AA98" s="574"/>
      <c r="AB98" s="574"/>
      <c r="AC98" s="575"/>
      <c r="AD98" s="575"/>
      <c r="AE98" s="575"/>
      <c r="AF98" s="575"/>
      <c r="AG98" s="575"/>
      <c r="AH98" s="575"/>
      <c r="AI98" s="575"/>
      <c r="AJ98" s="575"/>
      <c r="AK98" s="575"/>
      <c r="AL98" s="575"/>
      <c r="AM98" s="575"/>
      <c r="AN98" s="575"/>
      <c r="AO98" s="575"/>
      <c r="AP98" s="574"/>
      <c r="AQ98" s="574"/>
    </row>
    <row r="99" spans="2:43">
      <c r="C99" s="583" t="s">
        <v>225</v>
      </c>
      <c r="D99" s="585">
        <f>+D7</f>
        <v>24</v>
      </c>
      <c r="L99" s="583" t="s">
        <v>225</v>
      </c>
      <c r="M99" s="585">
        <f>+M7</f>
        <v>32</v>
      </c>
      <c r="R99" s="583" t="s">
        <v>225</v>
      </c>
      <c r="S99" s="585">
        <f>+S7</f>
        <v>35</v>
      </c>
      <c r="Y99" s="574"/>
      <c r="Z99" s="574"/>
      <c r="AA99" s="574"/>
      <c r="AB99" s="574"/>
      <c r="AC99" s="575"/>
      <c r="AD99" s="575"/>
      <c r="AE99" s="575"/>
      <c r="AF99" s="575"/>
      <c r="AG99" s="575"/>
      <c r="AH99" s="575"/>
      <c r="AI99" s="575"/>
      <c r="AJ99" s="575"/>
      <c r="AK99" s="575"/>
      <c r="AL99" s="575"/>
      <c r="AM99" s="575"/>
      <c r="AN99" s="575"/>
      <c r="AO99" s="575"/>
      <c r="AP99" s="574"/>
      <c r="AQ99" s="574"/>
    </row>
    <row r="100" spans="2:43">
      <c r="B100" s="578">
        <v>3</v>
      </c>
      <c r="C100" s="581" t="s">
        <v>602</v>
      </c>
      <c r="D100" s="581" t="str">
        <f>VLOOKUP($D$99,'SUNY Excels Dashboard'!$B:$U,B100,0)</f>
        <v>Success</v>
      </c>
      <c r="L100" s="581" t="s">
        <v>602</v>
      </c>
      <c r="M100" s="581" t="str">
        <f>VLOOKUP($M$99,'SUNY Excels Dashboard'!$B:$U,B100,0)</f>
        <v>Inquiry</v>
      </c>
      <c r="R100" s="581" t="s">
        <v>602</v>
      </c>
      <c r="S100" s="581" t="str">
        <f>VLOOKUP(S99,'SUNY Excels Dashboard'!$B:$U,$B100,0)</f>
        <v>Engagement</v>
      </c>
      <c r="Y100" s="574"/>
      <c r="Z100" s="574"/>
      <c r="AA100" s="574"/>
      <c r="AB100" s="574"/>
      <c r="AC100" s="575"/>
      <c r="AD100" s="575"/>
      <c r="AE100" s="575"/>
      <c r="AF100" s="575"/>
      <c r="AG100" s="575"/>
      <c r="AH100" s="575"/>
      <c r="AI100" s="575"/>
      <c r="AJ100" s="575"/>
      <c r="AK100" s="575"/>
      <c r="AL100" s="575"/>
      <c r="AM100" s="575"/>
      <c r="AN100" s="575"/>
      <c r="AO100" s="575"/>
      <c r="AP100" s="574"/>
      <c r="AQ100" s="574"/>
    </row>
    <row r="101" spans="2:43">
      <c r="B101" s="578">
        <v>10</v>
      </c>
      <c r="C101" s="581" t="s">
        <v>600</v>
      </c>
      <c r="D101" s="581" t="str">
        <f>VLOOKUP($D$99,'SUNY Excels Dashboard'!$B:$U,B101,0)</f>
        <v>Percent Faculty Headcount Minority</v>
      </c>
      <c r="L101" s="581" t="s">
        <v>600</v>
      </c>
      <c r="M101" s="581" t="str">
        <f>VLOOKUP($M$99,'SUNY Excels Dashboard'!$B:$U,B101,0)</f>
        <v>Sponsored Activity - Total ($millions)</v>
      </c>
      <c r="R101" s="581" t="s">
        <v>600</v>
      </c>
      <c r="S101" s="581" t="str">
        <f>VLOOKUP(S99,'SUNY Excels Dashboard'!$B:$U,$B101,0)</f>
        <v>Funds Raised ($millions)</v>
      </c>
      <c r="Y101" s="574"/>
      <c r="Z101" s="574"/>
      <c r="AA101" s="574"/>
      <c r="AB101" s="574"/>
      <c r="AC101" s="575"/>
      <c r="AD101" s="575"/>
      <c r="AE101" s="575"/>
      <c r="AF101" s="575"/>
      <c r="AG101" s="575"/>
      <c r="AH101" s="575"/>
      <c r="AI101" s="575"/>
      <c r="AJ101" s="575"/>
      <c r="AK101" s="575"/>
      <c r="AL101" s="575"/>
      <c r="AM101" s="575"/>
      <c r="AN101" s="575"/>
      <c r="AO101" s="575"/>
      <c r="AP101" s="574"/>
      <c r="AQ101" s="574"/>
    </row>
    <row r="102" spans="2:43">
      <c r="B102" s="578">
        <v>4</v>
      </c>
      <c r="C102" s="581" t="s">
        <v>608</v>
      </c>
      <c r="D102" s="581" t="str">
        <f>VLOOKUP($D$99,'SUNY Excels Dashboard'!$B:$U,B102,0)</f>
        <v>0.0%</v>
      </c>
      <c r="L102" s="581" t="s">
        <v>608</v>
      </c>
      <c r="M102" s="581" t="str">
        <f>VLOOKUP($M$99,'SUNY Excels Dashboard'!$B:$U,B102,0)</f>
        <v>$#,###.0</v>
      </c>
      <c r="R102" s="581" t="s">
        <v>608</v>
      </c>
      <c r="S102" s="581" t="str">
        <f>VLOOKUP(S99,'SUNY Excels Dashboard'!$B:$U,$B102,0)</f>
        <v>$#,###.0</v>
      </c>
      <c r="Y102" s="574"/>
      <c r="Z102" s="574"/>
      <c r="AA102" s="574"/>
      <c r="AB102" s="574"/>
      <c r="AC102" s="575"/>
      <c r="AD102" s="575"/>
      <c r="AE102" s="575"/>
      <c r="AF102" s="575"/>
      <c r="AG102" s="575"/>
      <c r="AH102" s="575"/>
      <c r="AI102" s="575"/>
      <c r="AJ102" s="575"/>
      <c r="AK102" s="575"/>
      <c r="AL102" s="575"/>
      <c r="AM102" s="575"/>
      <c r="AN102" s="575"/>
      <c r="AO102" s="575"/>
      <c r="AP102" s="574"/>
      <c r="AQ102" s="574"/>
    </row>
    <row r="103" spans="2:43">
      <c r="B103" s="578">
        <v>6</v>
      </c>
      <c r="C103" s="581" t="s">
        <v>621</v>
      </c>
      <c r="D103" s="591" t="str">
        <f>VLOOKUP($D$99,'SUNY Excels Dashboard'!$B:$U,B103,0)</f>
        <v>bar, with legend</v>
      </c>
      <c r="L103" s="581" t="s">
        <v>621</v>
      </c>
      <c r="M103" s="591" t="str">
        <f>VLOOKUP($M$99,'SUNY Excels Dashboard'!$B:$U,B103,0)</f>
        <v>LIne</v>
      </c>
      <c r="R103" s="581" t="s">
        <v>621</v>
      </c>
      <c r="S103" s="591" t="str">
        <f>VLOOKUP(S99,'SUNY Excels Dashboard'!$B:$U,$B103,0)</f>
        <v>line</v>
      </c>
      <c r="Y103" s="574"/>
      <c r="Z103" s="574"/>
      <c r="AA103" s="574"/>
      <c r="AB103" s="574"/>
      <c r="AC103" s="575"/>
      <c r="AD103" s="575"/>
      <c r="AE103" s="575"/>
      <c r="AF103" s="575"/>
      <c r="AG103" s="575"/>
      <c r="AH103" s="575"/>
      <c r="AI103" s="575"/>
      <c r="AJ103" s="575"/>
      <c r="AK103" s="575"/>
      <c r="AL103" s="575"/>
      <c r="AM103" s="575"/>
      <c r="AN103" s="575"/>
      <c r="AO103" s="575"/>
      <c r="AP103" s="574"/>
      <c r="AQ103" s="574"/>
    </row>
    <row r="104" spans="2:43">
      <c r="B104" s="578">
        <v>5</v>
      </c>
      <c r="C104" s="581" t="s">
        <v>613</v>
      </c>
      <c r="D104" s="581" t="str">
        <f>VLOOKUP($D$99,'SUNY Excels Dashboard'!$B:$U,B104,0)</f>
        <v>Fall Semester</v>
      </c>
      <c r="L104" s="581" t="s">
        <v>613</v>
      </c>
      <c r="M104" s="581" t="str">
        <f>VLOOKUP($M$99,'SUNY Excels Dashboard'!$B:$U,B104,0)</f>
        <v>Fiscal Year</v>
      </c>
      <c r="R104" s="581" t="s">
        <v>613</v>
      </c>
      <c r="S104" s="581" t="str">
        <f>VLOOKUP(S99,'SUNY Excels Dashboard'!$B:$U,$B104,0)</f>
        <v>Fiscal Year</v>
      </c>
      <c r="Y104" s="574"/>
      <c r="Z104" s="574"/>
      <c r="AA104" s="574"/>
      <c r="AB104" s="574"/>
      <c r="AC104" s="575"/>
      <c r="AD104" s="575"/>
      <c r="AE104" s="575"/>
      <c r="AF104" s="575"/>
      <c r="AG104" s="575"/>
      <c r="AH104" s="575"/>
      <c r="AI104" s="575"/>
      <c r="AJ104" s="575"/>
      <c r="AK104" s="575"/>
      <c r="AL104" s="575"/>
      <c r="AM104" s="575"/>
      <c r="AN104" s="575"/>
      <c r="AO104" s="575"/>
      <c r="AP104" s="574"/>
      <c r="AQ104" s="574"/>
    </row>
    <row r="105" spans="2:43">
      <c r="C105" s="581" t="s">
        <v>606</v>
      </c>
      <c r="D105" s="581" t="str">
        <f>+D100&amp;CHAR(10)&amp;D101</f>
        <v>Success
Percent Faculty Headcount Minority</v>
      </c>
      <c r="L105" s="581" t="s">
        <v>606</v>
      </c>
      <c r="M105" s="581" t="str">
        <f>+M100&amp;CHAR(10)&amp;M101</f>
        <v>Inquiry
Sponsored Activity - Total ($millions)</v>
      </c>
      <c r="R105" s="581" t="s">
        <v>606</v>
      </c>
      <c r="S105" s="581" t="str">
        <f>+S100&amp;CHAR(10)&amp;S101</f>
        <v>Engagement
Funds Raised ($millions)</v>
      </c>
      <c r="Y105" s="574"/>
      <c r="Z105" s="574"/>
      <c r="AA105" s="574"/>
      <c r="AB105" s="574"/>
      <c r="AC105" s="575"/>
      <c r="AD105" s="575"/>
      <c r="AE105" s="575"/>
      <c r="AF105" s="575"/>
      <c r="AG105" s="575"/>
      <c r="AH105" s="575"/>
      <c r="AI105" s="575"/>
      <c r="AJ105" s="575"/>
      <c r="AK105" s="575"/>
      <c r="AL105" s="575"/>
      <c r="AM105" s="575"/>
      <c r="AN105" s="575"/>
      <c r="AO105" s="575"/>
      <c r="AP105" s="574"/>
      <c r="AQ105" s="574"/>
    </row>
    <row r="106" spans="2:43">
      <c r="C106" s="584"/>
      <c r="D106" s="584"/>
      <c r="L106" s="584"/>
      <c r="M106" s="584"/>
      <c r="R106" s="584"/>
      <c r="S106" s="584"/>
      <c r="Y106" s="574"/>
      <c r="Z106" s="574"/>
      <c r="AA106" s="574"/>
      <c r="AB106" s="574"/>
      <c r="AC106" s="575"/>
      <c r="AD106" s="575"/>
      <c r="AE106" s="575"/>
      <c r="AF106" s="575"/>
      <c r="AG106" s="575"/>
      <c r="AH106" s="575"/>
      <c r="AI106" s="575"/>
      <c r="AJ106" s="575"/>
      <c r="AK106" s="575"/>
      <c r="AL106" s="575"/>
      <c r="AM106" s="575"/>
      <c r="AN106" s="575"/>
      <c r="AO106" s="575"/>
      <c r="AP106" s="574"/>
      <c r="AQ106" s="574"/>
    </row>
    <row r="107" spans="2:43">
      <c r="C107" s="584"/>
      <c r="D107" s="584" t="s">
        <v>605</v>
      </c>
      <c r="E107" s="584" t="s">
        <v>607</v>
      </c>
      <c r="F107" s="581" t="s">
        <v>603</v>
      </c>
      <c r="G107" s="581" t="s">
        <v>604</v>
      </c>
      <c r="H107" s="620" t="s">
        <v>643</v>
      </c>
      <c r="L107" s="584"/>
      <c r="M107" s="584" t="s">
        <v>605</v>
      </c>
      <c r="N107" s="584" t="s">
        <v>607</v>
      </c>
      <c r="O107" s="581" t="s">
        <v>603</v>
      </c>
      <c r="P107" s="581" t="s">
        <v>604</v>
      </c>
      <c r="Q107" s="620" t="s">
        <v>643</v>
      </c>
      <c r="R107" s="584"/>
      <c r="S107" s="584" t="s">
        <v>605</v>
      </c>
      <c r="T107" s="584" t="s">
        <v>607</v>
      </c>
      <c r="U107" s="581" t="s">
        <v>603</v>
      </c>
      <c r="V107" s="581" t="s">
        <v>604</v>
      </c>
      <c r="W107" s="620" t="s">
        <v>643</v>
      </c>
      <c r="Y107" s="574"/>
      <c r="Z107" s="574"/>
      <c r="AA107" s="574"/>
      <c r="AB107" s="574"/>
      <c r="AC107" s="575"/>
      <c r="AD107" s="575"/>
      <c r="AE107" s="575"/>
      <c r="AF107" s="575"/>
      <c r="AG107" s="575"/>
      <c r="AH107" s="575"/>
      <c r="AI107" s="575"/>
      <c r="AJ107" s="575"/>
      <c r="AK107" s="575"/>
      <c r="AL107" s="575"/>
      <c r="AM107" s="575"/>
      <c r="AN107" s="575"/>
      <c r="AO107" s="575"/>
      <c r="AP107" s="574"/>
      <c r="AQ107" s="574"/>
    </row>
    <row r="108" spans="2:43">
      <c r="C108" s="584" t="s">
        <v>64</v>
      </c>
      <c r="D108" s="584" t="s">
        <v>49</v>
      </c>
      <c r="E108" s="586">
        <f>INDEX('SUNY Excels Dashboard'!$B$2:$U$67,MATCH(D99,'SUNY Excels Dashboard'!$B$2:$B$67,0),MATCH($D108,'SUNY Excels Dashboard'!$B$2:$U$2,0))</f>
        <v>7.0796460176991149E-2</v>
      </c>
      <c r="F108" s="581" t="str">
        <f>IF(RIGHT($D$19,4)="year",C108,RIGHT(D108,4))</f>
        <v>2009</v>
      </c>
      <c r="G108" s="581">
        <f t="shared" ref="G108:G112" si="34">IF(+E108="-",NA(),E108)</f>
        <v>7.0796460176991149E-2</v>
      </c>
      <c r="H108" s="632">
        <v>0.192</v>
      </c>
      <c r="I108" s="632"/>
      <c r="J108" s="632"/>
      <c r="L108" s="584" t="s">
        <v>64</v>
      </c>
      <c r="M108" s="584" t="s">
        <v>49</v>
      </c>
      <c r="N108" s="586">
        <f>INDEX('SUNY Excels Dashboard'!$B$2:$U$67,MATCH(M99,'SUNY Excels Dashboard'!$B$2:$B$67,0),MATCH($D108,'SUNY Excels Dashboard'!$B$2:$U$2,0))</f>
        <v>1.7608545</v>
      </c>
      <c r="O108" s="581" t="str">
        <f>IF(RIGHT($D$19,4)="year",L108,RIGHT(M108,4))</f>
        <v>2009</v>
      </c>
      <c r="P108" s="581">
        <f t="shared" ref="P108:P112" si="35">IF(+N108="-",NA(),N108)</f>
        <v>1.7608545</v>
      </c>
      <c r="Q108" s="628" t="s">
        <v>187</v>
      </c>
      <c r="R108" s="584" t="s">
        <v>64</v>
      </c>
      <c r="S108" s="584" t="s">
        <v>49</v>
      </c>
      <c r="T108" s="586">
        <f>INDEX('SUNY Excels Dashboard'!$B$2:$U$67,MATCH(S99,'SUNY Excels Dashboard'!$B$2:$B$67,0),MATCH($D108,'SUNY Excels Dashboard'!$B$2:$U$2,0))</f>
        <v>0.82609500000000002</v>
      </c>
      <c r="U108" s="581" t="str">
        <f>IF(RIGHT($D$19,4)="year",R108,RIGHT(S108,4))</f>
        <v>2009</v>
      </c>
      <c r="V108" s="627">
        <f>IF(+T108="-",NA(),T108)</f>
        <v>0.82609500000000002</v>
      </c>
      <c r="W108" s="628" t="s">
        <v>187</v>
      </c>
      <c r="Y108" s="574"/>
      <c r="Z108" s="574"/>
      <c r="AA108" s="574"/>
      <c r="AB108" s="574"/>
      <c r="AC108" s="575"/>
      <c r="AD108" s="575"/>
      <c r="AE108" s="575"/>
      <c r="AF108" s="575"/>
      <c r="AG108" s="575"/>
      <c r="AH108" s="575"/>
      <c r="AI108" s="575"/>
      <c r="AJ108" s="575"/>
      <c r="AK108" s="575"/>
      <c r="AL108" s="575"/>
      <c r="AM108" s="575"/>
      <c r="AN108" s="575"/>
      <c r="AO108" s="575"/>
      <c r="AP108" s="574"/>
      <c r="AQ108" s="574"/>
    </row>
    <row r="109" spans="2:43">
      <c r="C109" s="584" t="s">
        <v>65</v>
      </c>
      <c r="D109" s="584" t="s">
        <v>50</v>
      </c>
      <c r="E109" s="586" t="str">
        <f>INDEX('SUNY Excels Dashboard'!$B$2:$U$67,MATCH(D99,'SUNY Excels Dashboard'!$B$2:$B$67,0),MATCH($D109,'SUNY Excels Dashboard'!$B$2:$U$2,0))</f>
        <v>-</v>
      </c>
      <c r="F109" s="581" t="str">
        <f>IF(RIGHT($D$19,4)="year",C109,RIGHT(D109,4))</f>
        <v>2010</v>
      </c>
      <c r="G109" s="581" t="str">
        <f>+E109</f>
        <v>-</v>
      </c>
      <c r="H109" s="632"/>
      <c r="I109" s="632"/>
      <c r="J109" s="632"/>
      <c r="L109" s="584" t="s">
        <v>65</v>
      </c>
      <c r="M109" s="584" t="s">
        <v>50</v>
      </c>
      <c r="N109" s="586">
        <f>INDEX('SUNY Excels Dashboard'!$B$2:$U$67,MATCH(M99,'SUNY Excels Dashboard'!$B$2:$B$67,0),MATCH($D109,'SUNY Excels Dashboard'!$B$2:$U$2,0))</f>
        <v>1.8336411400000001</v>
      </c>
      <c r="O109" s="581" t="str">
        <f>IF(RIGHT($D$19,4)="year",L109,RIGHT(M109,4))</f>
        <v>2010</v>
      </c>
      <c r="P109" s="581">
        <f t="shared" si="35"/>
        <v>1.8336411400000001</v>
      </c>
      <c r="Q109" s="628" t="s">
        <v>187</v>
      </c>
      <c r="R109" s="584" t="s">
        <v>65</v>
      </c>
      <c r="S109" s="584" t="s">
        <v>50</v>
      </c>
      <c r="T109" s="586">
        <f>INDEX('SUNY Excels Dashboard'!$B$2:$U$67,MATCH(S99,'SUNY Excels Dashboard'!$B$2:$B$67,0),MATCH($D109,'SUNY Excels Dashboard'!$B$2:$U$2,0))</f>
        <v>0.90526300000000004</v>
      </c>
      <c r="U109" s="581" t="str">
        <f>IF(RIGHT($D$19,4)="year",R109,RIGHT(S109,4))</f>
        <v>2010</v>
      </c>
      <c r="V109" s="627">
        <f t="shared" ref="V109:V110" si="36">IF(+T109="-",NA(),T109)</f>
        <v>0.90526300000000004</v>
      </c>
      <c r="W109" s="628" t="s">
        <v>187</v>
      </c>
      <c r="Y109" s="574"/>
      <c r="Z109" s="574"/>
      <c r="AA109" s="574"/>
      <c r="AB109" s="574"/>
      <c r="AC109" s="575"/>
      <c r="AD109" s="575"/>
      <c r="AE109" s="575"/>
      <c r="AF109" s="575"/>
      <c r="AG109" s="575"/>
      <c r="AH109" s="575"/>
      <c r="AI109" s="575"/>
      <c r="AJ109" s="575"/>
      <c r="AK109" s="575"/>
      <c r="AL109" s="575"/>
      <c r="AM109" s="575"/>
      <c r="AN109" s="575"/>
      <c r="AO109" s="575"/>
      <c r="AP109" s="574"/>
      <c r="AQ109" s="574"/>
    </row>
    <row r="110" spans="2:43">
      <c r="C110" s="584" t="s">
        <v>66</v>
      </c>
      <c r="D110" s="584" t="s">
        <v>51</v>
      </c>
      <c r="E110" s="586">
        <f>INDEX('SUNY Excels Dashboard'!$B$2:$U$67,MATCH(D99,'SUNY Excels Dashboard'!$B$2:$B$67,0),MATCH($D110,'SUNY Excels Dashboard'!$B$2:$U$2,0))</f>
        <v>6.8965517241379309E-2</v>
      </c>
      <c r="F110" s="581" t="str">
        <f>IF(RIGHT($D$19,4)="year",C110,RIGHT(D110,4))</f>
        <v>2011</v>
      </c>
      <c r="G110" s="581">
        <f t="shared" si="34"/>
        <v>6.8965517241379309E-2</v>
      </c>
      <c r="H110" s="632">
        <v>0.20699999999999999</v>
      </c>
      <c r="I110" s="632"/>
      <c r="J110" s="632"/>
      <c r="L110" s="584" t="s">
        <v>66</v>
      </c>
      <c r="M110" s="584" t="s">
        <v>51</v>
      </c>
      <c r="N110" s="586">
        <f>INDEX('SUNY Excels Dashboard'!$B$2:$U$67,MATCH(M99,'SUNY Excels Dashboard'!$B$2:$B$67,0),MATCH($D110,'SUNY Excels Dashboard'!$B$2:$U$2,0))</f>
        <v>2.1643140699999996</v>
      </c>
      <c r="O110" s="581" t="str">
        <f>IF(RIGHT($D$19,4)="year",L110,RIGHT(M110,4))</f>
        <v>2011</v>
      </c>
      <c r="P110" s="581">
        <f t="shared" si="35"/>
        <v>2.1643140699999996</v>
      </c>
      <c r="Q110" s="628" t="s">
        <v>187</v>
      </c>
      <c r="R110" s="584" t="s">
        <v>66</v>
      </c>
      <c r="S110" s="584" t="s">
        <v>51</v>
      </c>
      <c r="T110" s="586">
        <f>INDEX('SUNY Excels Dashboard'!$B$2:$U$67,MATCH(S99,'SUNY Excels Dashboard'!$B$2:$B$67,0),MATCH($D110,'SUNY Excels Dashboard'!$B$2:$U$2,0))</f>
        <v>0.65834700000000002</v>
      </c>
      <c r="U110" s="581" t="str">
        <f>IF(RIGHT($D$19,4)="year",R110,RIGHT(S110,4))</f>
        <v>2011</v>
      </c>
      <c r="V110" s="627">
        <f t="shared" si="36"/>
        <v>0.65834700000000002</v>
      </c>
      <c r="W110" s="628" t="s">
        <v>187</v>
      </c>
      <c r="Y110" s="574"/>
      <c r="Z110" s="574"/>
      <c r="AA110" s="574"/>
      <c r="AB110" s="574"/>
      <c r="AC110" s="575"/>
      <c r="AD110" s="575"/>
      <c r="AE110" s="575"/>
      <c r="AF110" s="575"/>
      <c r="AG110" s="575"/>
      <c r="AH110" s="575"/>
      <c r="AI110" s="575"/>
      <c r="AJ110" s="575"/>
      <c r="AK110" s="575"/>
      <c r="AL110" s="575"/>
      <c r="AM110" s="575"/>
      <c r="AN110" s="575"/>
      <c r="AO110" s="575"/>
      <c r="AP110" s="574"/>
      <c r="AQ110" s="574"/>
    </row>
    <row r="111" spans="2:43">
      <c r="C111" s="584" t="s">
        <v>67</v>
      </c>
      <c r="D111" s="584" t="s">
        <v>52</v>
      </c>
      <c r="E111" s="586" t="str">
        <f>INDEX('SUNY Excels Dashboard'!$B$2:$U$67,MATCH(D99,'SUNY Excels Dashboard'!$B$2:$B$67,0),MATCH($D111,'SUNY Excels Dashboard'!$B$2:$U$2,0))</f>
        <v>-</v>
      </c>
      <c r="F111" s="581" t="str">
        <f>IF(RIGHT($D$19,4)="year",C111,RIGHT(D111,4))</f>
        <v>2012</v>
      </c>
      <c r="G111" s="581" t="str">
        <f>+E111</f>
        <v>-</v>
      </c>
      <c r="H111" s="632"/>
      <c r="I111" s="632"/>
      <c r="J111" s="632"/>
      <c r="L111" s="584" t="s">
        <v>67</v>
      </c>
      <c r="M111" s="584" t="s">
        <v>52</v>
      </c>
      <c r="N111" s="586">
        <f>INDEX('SUNY Excels Dashboard'!$B$2:$U$67,MATCH(M99,'SUNY Excels Dashboard'!$B$2:$B$67,0),MATCH($D111,'SUNY Excels Dashboard'!$B$2:$U$2,0))</f>
        <v>1.7731520700000003</v>
      </c>
      <c r="O111" s="581" t="str">
        <f>IF(RIGHT($D$19,4)="year",L111,RIGHT(M111,4))</f>
        <v>2012</v>
      </c>
      <c r="P111" s="581">
        <f t="shared" si="35"/>
        <v>1.7731520700000003</v>
      </c>
      <c r="Q111" s="628" t="s">
        <v>187</v>
      </c>
      <c r="R111" s="584" t="s">
        <v>67</v>
      </c>
      <c r="S111" s="584" t="s">
        <v>52</v>
      </c>
      <c r="T111" s="586">
        <f>INDEX('SUNY Excels Dashboard'!$B$2:$U$67,MATCH(S99,'SUNY Excels Dashboard'!$B$2:$B$67,0),MATCH($D111,'SUNY Excels Dashboard'!$B$2:$U$2,0))</f>
        <v>1.3655060000000001</v>
      </c>
      <c r="U111" s="581" t="str">
        <f>IF(RIGHT($D$19,4)="year",R111,RIGHT(S111,4))</f>
        <v>2012</v>
      </c>
      <c r="V111" s="627">
        <f>IF(+T111="-",NA(),T111)</f>
        <v>1.3655060000000001</v>
      </c>
      <c r="W111" s="628" t="s">
        <v>187</v>
      </c>
      <c r="Y111" s="574"/>
      <c r="Z111" s="574"/>
      <c r="AA111" s="574"/>
      <c r="AB111" s="574"/>
      <c r="AC111" s="575"/>
      <c r="AD111" s="575"/>
      <c r="AE111" s="575"/>
      <c r="AF111" s="575"/>
      <c r="AG111" s="575"/>
      <c r="AH111" s="575"/>
      <c r="AI111" s="575"/>
      <c r="AJ111" s="575"/>
      <c r="AK111" s="575"/>
      <c r="AL111" s="575"/>
      <c r="AM111" s="575"/>
      <c r="AN111" s="575"/>
      <c r="AO111" s="575"/>
      <c r="AP111" s="574"/>
      <c r="AQ111" s="574"/>
    </row>
    <row r="112" spans="2:43">
      <c r="C112" s="584" t="s">
        <v>68</v>
      </c>
      <c r="D112" s="584" t="s">
        <v>53</v>
      </c>
      <c r="E112" s="586">
        <f>INDEX('SUNY Excels Dashboard'!$B$2:$U$67,MATCH(D99,'SUNY Excels Dashboard'!$B$2:$B$67,0),MATCH($D112,'SUNY Excels Dashboard'!$B$2:$U$2,0))</f>
        <v>0.12213740458015267</v>
      </c>
      <c r="F112" s="581" t="str">
        <f t="shared" ref="F112:F116" si="37">IF(RIGHT($D$19,4)="year",C112,RIGHT(D112,4))</f>
        <v>2013</v>
      </c>
      <c r="G112" s="581">
        <f t="shared" si="34"/>
        <v>0.12213740458015267</v>
      </c>
      <c r="H112" s="632" t="s">
        <v>187</v>
      </c>
      <c r="I112" s="632"/>
      <c r="J112" s="632"/>
      <c r="L112" s="584" t="s">
        <v>68</v>
      </c>
      <c r="M112" s="584" t="s">
        <v>53</v>
      </c>
      <c r="N112" s="586">
        <f>INDEX('SUNY Excels Dashboard'!$B$2:$U$67,MATCH(M99,'SUNY Excels Dashboard'!$B$2:$B$67,0),MATCH($D112,'SUNY Excels Dashboard'!$B$2:$U$2,0))</f>
        <v>1.4125999299999998</v>
      </c>
      <c r="O112" s="581" t="str">
        <f t="shared" ref="O112:O116" si="38">IF(RIGHT($D$19,4)="year",L112,RIGHT(M112,4))</f>
        <v>2013</v>
      </c>
      <c r="P112" s="581">
        <f t="shared" si="35"/>
        <v>1.4125999299999998</v>
      </c>
      <c r="Q112" s="628" t="s">
        <v>187</v>
      </c>
      <c r="R112" s="584" t="s">
        <v>68</v>
      </c>
      <c r="S112" s="584" t="s">
        <v>53</v>
      </c>
      <c r="T112" s="586">
        <f>INDEX('SUNY Excels Dashboard'!$B$2:$U$67,MATCH(S99,'SUNY Excels Dashboard'!$B$2:$B$67,0),MATCH($D112,'SUNY Excels Dashboard'!$B$2:$U$2,0))</f>
        <v>1.0515129999999999</v>
      </c>
      <c r="U112" s="581" t="str">
        <f t="shared" ref="U112:U116" si="39">IF(RIGHT($D$19,4)="year",R112,RIGHT(S112,4))</f>
        <v>2013</v>
      </c>
      <c r="V112" s="627">
        <f t="shared" ref="V112" si="40">IF(+T112="-",NA(),T112)</f>
        <v>1.0515129999999999</v>
      </c>
      <c r="W112" s="628" t="s">
        <v>187</v>
      </c>
      <c r="Y112" s="574"/>
      <c r="Z112" s="574"/>
      <c r="AA112" s="574"/>
      <c r="AB112" s="574"/>
      <c r="AC112" s="575"/>
      <c r="AD112" s="575"/>
      <c r="AE112" s="575"/>
      <c r="AF112" s="575"/>
      <c r="AG112" s="575"/>
      <c r="AH112" s="575"/>
      <c r="AI112" s="575"/>
      <c r="AJ112" s="575"/>
      <c r="AK112" s="575"/>
      <c r="AL112" s="575"/>
      <c r="AM112" s="575"/>
      <c r="AN112" s="575"/>
      <c r="AO112" s="575"/>
      <c r="AP112" s="574"/>
      <c r="AQ112" s="574"/>
    </row>
    <row r="113" spans="3:43">
      <c r="C113" s="587" t="s">
        <v>508</v>
      </c>
      <c r="D113" s="587" t="s">
        <v>261</v>
      </c>
      <c r="E113" s="588" t="str">
        <f>INDEX('SUNY Excels Dashboard'!$B$2:$U$67,MATCH(D99,'SUNY Excels Dashboard'!$B$2:$B$67,0),MATCH($D113,'SUNY Excels Dashboard'!$B$2:$U$2,0))</f>
        <v>-</v>
      </c>
      <c r="F113" s="581" t="str">
        <f t="shared" si="37"/>
        <v>2014</v>
      </c>
      <c r="G113" s="581" t="e">
        <f t="shared" ref="G113:G116" si="41">IF(OR(+E113="-",+E113="",+E113=0),NA(),E113)</f>
        <v>#N/A</v>
      </c>
      <c r="L113" s="587" t="s">
        <v>508</v>
      </c>
      <c r="M113" s="587" t="s">
        <v>261</v>
      </c>
      <c r="N113" s="588" t="str">
        <f>INDEX('SUNY Excels Dashboard'!$B$2:$U$67,MATCH(M99,'SUNY Excels Dashboard'!$B$2:$B$67,0),MATCH($D113,'SUNY Excels Dashboard'!$B$2:$U$2,0))</f>
        <v>-</v>
      </c>
      <c r="O113" s="581" t="str">
        <f t="shared" si="38"/>
        <v>2014</v>
      </c>
      <c r="P113" s="581" t="e">
        <f>IF(OR(+N113="-",+N113="",+N113=0),NA(),N113)</f>
        <v>#N/A</v>
      </c>
      <c r="R113" s="587" t="s">
        <v>508</v>
      </c>
      <c r="S113" s="587" t="s">
        <v>261</v>
      </c>
      <c r="T113" s="588" t="str">
        <f>INDEX('SUNY Excels Dashboard'!$B$2:$U$67,MATCH(S99,'SUNY Excels Dashboard'!$B$2:$B$67,0),MATCH($D113,'SUNY Excels Dashboard'!$B$2:$U$2,0))</f>
        <v>-</v>
      </c>
      <c r="U113" s="581" t="str">
        <f t="shared" si="39"/>
        <v>2014</v>
      </c>
      <c r="V113" s="581" t="e">
        <f>IF(OR(+T113="-",+T113="",+T113=0),NA(),T113)</f>
        <v>#N/A</v>
      </c>
      <c r="Y113" s="574"/>
      <c r="Z113" s="574"/>
      <c r="AA113" s="574"/>
      <c r="AB113" s="574"/>
      <c r="AC113" s="575"/>
      <c r="AD113" s="575"/>
      <c r="AE113" s="575"/>
      <c r="AF113" s="575"/>
      <c r="AG113" s="575"/>
      <c r="AH113" s="575"/>
      <c r="AI113" s="575"/>
      <c r="AJ113" s="575"/>
      <c r="AK113" s="575"/>
      <c r="AL113" s="575"/>
      <c r="AM113" s="575"/>
      <c r="AN113" s="575"/>
      <c r="AO113" s="575"/>
      <c r="AP113" s="574"/>
      <c r="AQ113" s="574"/>
    </row>
    <row r="114" spans="3:43" hidden="1">
      <c r="C114" s="589" t="s">
        <v>593</v>
      </c>
      <c r="D114" s="589" t="s">
        <v>224</v>
      </c>
      <c r="E114" s="590" t="e">
        <f>INDEX(#REF!,MATCH(D99,#REF!,0),MATCH($D114,#REF!,0))</f>
        <v>#REF!</v>
      </c>
      <c r="F114" s="581" t="str">
        <f t="shared" si="37"/>
        <v>2015</v>
      </c>
      <c r="G114" s="581" t="e">
        <f t="shared" si="41"/>
        <v>#REF!</v>
      </c>
      <c r="L114" s="589" t="s">
        <v>593</v>
      </c>
      <c r="M114" s="589" t="s">
        <v>224</v>
      </c>
      <c r="N114" s="590" t="e">
        <f>INDEX(#REF!,MATCH(M99,#REF!,0),MATCH($D114,#REF!,0))</f>
        <v>#REF!</v>
      </c>
      <c r="O114" s="581" t="str">
        <f t="shared" si="38"/>
        <v>2015</v>
      </c>
      <c r="P114" s="581" t="e">
        <f t="shared" ref="P114:P116" si="42">IF(OR(+N114="-",+N114="",+N114=0),NA(),N114)</f>
        <v>#REF!</v>
      </c>
      <c r="R114" s="589" t="s">
        <v>593</v>
      </c>
      <c r="S114" s="589" t="s">
        <v>224</v>
      </c>
      <c r="T114" s="590" t="e">
        <f>INDEX(#REF!,MATCH(S99,#REF!,0),MATCH($D114,#REF!,0))</f>
        <v>#REF!</v>
      </c>
      <c r="U114" s="581" t="str">
        <f t="shared" si="39"/>
        <v>2015</v>
      </c>
      <c r="V114" s="581" t="e">
        <f t="shared" ref="V114:V116" si="43">IF(OR(+T114="-",+T114="",+T114=0),NA(),T114)</f>
        <v>#REF!</v>
      </c>
      <c r="Y114" s="574"/>
      <c r="Z114" s="574"/>
      <c r="AA114" s="574"/>
      <c r="AB114" s="574"/>
      <c r="AC114" s="575"/>
      <c r="AD114" s="575"/>
      <c r="AE114" s="575"/>
      <c r="AF114" s="575"/>
      <c r="AG114" s="575"/>
      <c r="AH114" s="575"/>
      <c r="AI114" s="575"/>
      <c r="AJ114" s="575"/>
      <c r="AK114" s="575"/>
      <c r="AL114" s="575"/>
      <c r="AM114" s="575"/>
      <c r="AN114" s="575"/>
      <c r="AO114" s="575"/>
      <c r="AP114" s="574"/>
      <c r="AQ114" s="574"/>
    </row>
    <row r="115" spans="3:43" hidden="1">
      <c r="C115" s="589" t="s">
        <v>617</v>
      </c>
      <c r="D115" s="589" t="s">
        <v>257</v>
      </c>
      <c r="E115" s="590" t="e">
        <f>INDEX(#REF!,MATCH(D99,#REF!,0),MATCH($D115,#REF!,0))</f>
        <v>#REF!</v>
      </c>
      <c r="F115" s="581" t="str">
        <f t="shared" si="37"/>
        <v>2018</v>
      </c>
      <c r="G115" s="581" t="e">
        <f t="shared" si="41"/>
        <v>#REF!</v>
      </c>
      <c r="L115" s="589" t="s">
        <v>617</v>
      </c>
      <c r="M115" s="589" t="s">
        <v>257</v>
      </c>
      <c r="N115" s="590" t="e">
        <f>INDEX(#REF!,MATCH(M99,#REF!,0),MATCH($D115,#REF!,0))</f>
        <v>#REF!</v>
      </c>
      <c r="O115" s="581" t="str">
        <f t="shared" si="38"/>
        <v>2018</v>
      </c>
      <c r="P115" s="581" t="e">
        <f t="shared" si="42"/>
        <v>#REF!</v>
      </c>
      <c r="R115" s="589" t="s">
        <v>617</v>
      </c>
      <c r="S115" s="589" t="s">
        <v>257</v>
      </c>
      <c r="T115" s="590" t="e">
        <f>INDEX(#REF!,MATCH(S99,#REF!,0),MATCH($D115,#REF!,0))</f>
        <v>#REF!</v>
      </c>
      <c r="U115" s="581" t="str">
        <f t="shared" si="39"/>
        <v>2018</v>
      </c>
      <c r="V115" s="581" t="e">
        <f t="shared" si="43"/>
        <v>#REF!</v>
      </c>
      <c r="Y115" s="574"/>
      <c r="Z115" s="574"/>
      <c r="AA115" s="574"/>
      <c r="AB115" s="574"/>
      <c r="AC115" s="575"/>
      <c r="AD115" s="575"/>
      <c r="AE115" s="575"/>
      <c r="AF115" s="575"/>
      <c r="AG115" s="575"/>
      <c r="AH115" s="575"/>
      <c r="AI115" s="575"/>
      <c r="AJ115" s="575"/>
      <c r="AK115" s="575"/>
      <c r="AL115" s="575"/>
      <c r="AM115" s="575"/>
      <c r="AN115" s="575"/>
      <c r="AO115" s="575"/>
      <c r="AP115" s="574"/>
      <c r="AQ115" s="574"/>
    </row>
    <row r="116" spans="3:43" hidden="1">
      <c r="C116" s="589" t="s">
        <v>618</v>
      </c>
      <c r="D116" s="589" t="s">
        <v>226</v>
      </c>
      <c r="E116" s="590" t="e">
        <f>INDEX(#REF!,MATCH(D99,#REF!,0),MATCH($D116,#REF!,0))</f>
        <v>#REF!</v>
      </c>
      <c r="F116" s="581" t="str">
        <f t="shared" si="37"/>
        <v>2020</v>
      </c>
      <c r="G116" s="581" t="e">
        <f t="shared" si="41"/>
        <v>#REF!</v>
      </c>
      <c r="L116" s="589" t="s">
        <v>618</v>
      </c>
      <c r="M116" s="589" t="s">
        <v>226</v>
      </c>
      <c r="N116" s="590" t="e">
        <f>INDEX(#REF!,MATCH(M99,#REF!,0),MATCH($D116,#REF!,0))</f>
        <v>#REF!</v>
      </c>
      <c r="O116" s="581" t="str">
        <f t="shared" si="38"/>
        <v>2020</v>
      </c>
      <c r="P116" s="581" t="e">
        <f t="shared" si="42"/>
        <v>#REF!</v>
      </c>
      <c r="R116" s="589" t="s">
        <v>618</v>
      </c>
      <c r="S116" s="589" t="s">
        <v>226</v>
      </c>
      <c r="T116" s="590" t="e">
        <f>INDEX(#REF!,MATCH(S99,#REF!,0),MATCH($D116,#REF!,0))</f>
        <v>#REF!</v>
      </c>
      <c r="U116" s="581" t="str">
        <f t="shared" si="39"/>
        <v>2020</v>
      </c>
      <c r="V116" s="581" t="e">
        <f t="shared" si="43"/>
        <v>#REF!</v>
      </c>
      <c r="Y116" s="574"/>
      <c r="Z116" s="574"/>
      <c r="AA116" s="574"/>
      <c r="AB116" s="574"/>
      <c r="AC116" s="575"/>
      <c r="AD116" s="575"/>
      <c r="AE116" s="575"/>
      <c r="AF116" s="575"/>
      <c r="AG116" s="575"/>
      <c r="AH116" s="575"/>
      <c r="AI116" s="575"/>
      <c r="AJ116" s="575"/>
      <c r="AK116" s="575"/>
      <c r="AL116" s="575"/>
      <c r="AM116" s="575"/>
      <c r="AN116" s="575"/>
      <c r="AO116" s="575"/>
      <c r="AP116" s="574"/>
      <c r="AQ116" s="574"/>
    </row>
    <row r="117" spans="3:43">
      <c r="Y117" s="574"/>
      <c r="Z117" s="574"/>
      <c r="AA117" s="574"/>
      <c r="AB117" s="574"/>
      <c r="AC117" s="575"/>
      <c r="AD117" s="575"/>
      <c r="AE117" s="575"/>
      <c r="AF117" s="575"/>
      <c r="AG117" s="575"/>
      <c r="AH117" s="575"/>
      <c r="AI117" s="575"/>
      <c r="AJ117" s="575"/>
      <c r="AK117" s="575"/>
      <c r="AL117" s="575"/>
      <c r="AM117" s="575"/>
      <c r="AN117" s="575"/>
      <c r="AO117" s="575"/>
      <c r="AP117" s="574"/>
      <c r="AQ117" s="574"/>
    </row>
    <row r="118" spans="3:43">
      <c r="Y118" s="574"/>
      <c r="Z118" s="574"/>
      <c r="AA118" s="574"/>
      <c r="AB118" s="574"/>
      <c r="AC118" s="575"/>
      <c r="AD118" s="575"/>
      <c r="AE118" s="575"/>
      <c r="AF118" s="575"/>
      <c r="AG118" s="575"/>
      <c r="AH118" s="575"/>
      <c r="AI118" s="575"/>
      <c r="AJ118" s="575"/>
      <c r="AK118" s="575"/>
      <c r="AL118" s="575"/>
      <c r="AM118" s="575"/>
      <c r="AN118" s="575"/>
      <c r="AO118" s="575"/>
      <c r="AP118" s="574"/>
      <c r="AQ118" s="574"/>
    </row>
    <row r="119" spans="3:43">
      <c r="Y119" s="574"/>
      <c r="Z119" s="574"/>
      <c r="AA119" s="574"/>
      <c r="AB119" s="574"/>
      <c r="AC119" s="575"/>
      <c r="AD119" s="575"/>
      <c r="AE119" s="575"/>
      <c r="AF119" s="575"/>
      <c r="AG119" s="575"/>
      <c r="AH119" s="575"/>
      <c r="AI119" s="575"/>
      <c r="AJ119" s="575"/>
      <c r="AK119" s="575"/>
      <c r="AL119" s="575"/>
      <c r="AM119" s="575"/>
      <c r="AN119" s="575"/>
      <c r="AO119" s="575"/>
      <c r="AP119" s="574"/>
      <c r="AQ119" s="574"/>
    </row>
    <row r="120" spans="3:43">
      <c r="Y120" s="574"/>
      <c r="Z120" s="574"/>
      <c r="AA120" s="574"/>
      <c r="AB120" s="574"/>
      <c r="AC120" s="575"/>
      <c r="AD120" s="575"/>
      <c r="AE120" s="575"/>
      <c r="AF120" s="575"/>
      <c r="AG120" s="575"/>
      <c r="AH120" s="575"/>
      <c r="AI120" s="575"/>
      <c r="AJ120" s="575"/>
      <c r="AK120" s="575"/>
      <c r="AL120" s="575"/>
      <c r="AM120" s="575"/>
      <c r="AN120" s="575"/>
      <c r="AO120" s="575"/>
      <c r="AP120" s="574"/>
      <c r="AQ120" s="574"/>
    </row>
    <row r="121" spans="3:43">
      <c r="Y121" s="574"/>
      <c r="Z121" s="574"/>
      <c r="AA121" s="574"/>
      <c r="AB121" s="574"/>
      <c r="AC121" s="575"/>
      <c r="AD121" s="575"/>
      <c r="AE121" s="575"/>
      <c r="AF121" s="575"/>
      <c r="AG121" s="575"/>
      <c r="AH121" s="575"/>
      <c r="AI121" s="575"/>
      <c r="AJ121" s="575"/>
      <c r="AK121" s="575"/>
      <c r="AL121" s="575"/>
      <c r="AM121" s="575"/>
      <c r="AN121" s="575"/>
      <c r="AO121" s="575"/>
      <c r="AP121" s="574"/>
      <c r="AQ121" s="574"/>
    </row>
    <row r="122" spans="3:43">
      <c r="Y122" s="574"/>
      <c r="Z122" s="574"/>
      <c r="AA122" s="574"/>
      <c r="AB122" s="574"/>
      <c r="AC122" s="575"/>
      <c r="AD122" s="575"/>
      <c r="AE122" s="575"/>
      <c r="AF122" s="575"/>
      <c r="AG122" s="575"/>
      <c r="AH122" s="575"/>
      <c r="AI122" s="575"/>
      <c r="AJ122" s="575"/>
      <c r="AK122" s="575"/>
      <c r="AL122" s="575"/>
      <c r="AM122" s="575"/>
      <c r="AN122" s="575"/>
      <c r="AO122" s="575"/>
      <c r="AP122" s="574"/>
      <c r="AQ122" s="574"/>
    </row>
    <row r="123" spans="3:43">
      <c r="Y123" s="574"/>
      <c r="Z123" s="574"/>
      <c r="AA123" s="574"/>
      <c r="AB123" s="574"/>
      <c r="AC123" s="575"/>
      <c r="AD123" s="575"/>
      <c r="AE123" s="575"/>
      <c r="AF123" s="575"/>
      <c r="AG123" s="575"/>
      <c r="AH123" s="575"/>
      <c r="AI123" s="575"/>
      <c r="AJ123" s="575"/>
      <c r="AK123" s="575"/>
      <c r="AL123" s="575"/>
      <c r="AM123" s="575"/>
      <c r="AN123" s="575"/>
      <c r="AO123" s="575"/>
      <c r="AP123" s="574"/>
      <c r="AQ123" s="574"/>
    </row>
    <row r="124" spans="3:43">
      <c r="Y124" s="574"/>
      <c r="Z124" s="574"/>
      <c r="AA124" s="574"/>
      <c r="AB124" s="574"/>
      <c r="AC124" s="575"/>
      <c r="AD124" s="575"/>
      <c r="AE124" s="575"/>
      <c r="AF124" s="575"/>
      <c r="AG124" s="575"/>
      <c r="AH124" s="575"/>
      <c r="AI124" s="575"/>
      <c r="AJ124" s="575"/>
      <c r="AK124" s="575"/>
      <c r="AL124" s="575"/>
      <c r="AM124" s="575"/>
      <c r="AN124" s="575"/>
      <c r="AO124" s="575"/>
      <c r="AP124" s="574"/>
      <c r="AQ124" s="574"/>
    </row>
  </sheetData>
  <sheetProtection selectLockedCells="1"/>
  <mergeCells count="1">
    <mergeCell ref="AO12:AQ12"/>
  </mergeCells>
  <conditionalFormatting sqref="G23:J31">
    <cfRule type="expression" dxfId="91" priority="90">
      <formula>OR($D$17="$#,###.0",$D$17="$#,###")</formula>
    </cfRule>
    <cfRule type="expression" dxfId="90" priority="91">
      <formula>$D$17="0.0%"</formula>
    </cfRule>
    <cfRule type="expression" dxfId="89" priority="92">
      <formula>$D$17="#,###"</formula>
    </cfRule>
  </conditionalFormatting>
  <conditionalFormatting sqref="P23:P31 R23:W31 H23:I28 H44:I49">
    <cfRule type="expression" dxfId="88" priority="88">
      <formula>E$17="0.0%"</formula>
    </cfRule>
    <cfRule type="expression" dxfId="87" priority="89">
      <formula>E$17="#,###"</formula>
    </cfRule>
  </conditionalFormatting>
  <conditionalFormatting sqref="P23:P31 R23:W31 H23:I28 H44:I49">
    <cfRule type="expression" dxfId="86" priority="85">
      <formula>OR($D17="$#,###.0",$D17="$#,###")</formula>
    </cfRule>
    <cfRule type="expression" dxfId="85" priority="86">
      <formula>E$17="0.0%"</formula>
    </cfRule>
    <cfRule type="expression" dxfId="84" priority="87">
      <formula>E$17="#,###"</formula>
    </cfRule>
  </conditionalFormatting>
  <conditionalFormatting sqref="G86:J94">
    <cfRule type="expression" dxfId="83" priority="82">
      <formula>OR($D$80="$#,###.0",$D$80="$#,###")</formula>
    </cfRule>
    <cfRule type="expression" dxfId="82" priority="83">
      <formula>$D$80="0.0%"</formula>
    </cfRule>
    <cfRule type="expression" dxfId="81" priority="84">
      <formula>$D$80="#,###"</formula>
    </cfRule>
  </conditionalFormatting>
  <conditionalFormatting sqref="P86:W94">
    <cfRule type="expression" dxfId="80" priority="79">
      <formula>OR($M$80="$#,###.0",$M$80="$#,###")</formula>
    </cfRule>
    <cfRule type="expression" dxfId="79" priority="80">
      <formula>$M$80="0.0%"</formula>
    </cfRule>
    <cfRule type="expression" dxfId="78" priority="81">
      <formula>$M$80="#,###"</formula>
    </cfRule>
  </conditionalFormatting>
  <conditionalFormatting sqref="G44:J52">
    <cfRule type="expression" dxfId="77" priority="76">
      <formula>OR($D$35="$#,###.0",$D$35="$#,###")</formula>
    </cfRule>
    <cfRule type="expression" dxfId="76" priority="77">
      <formula>$D$35="0.0%"</formula>
    </cfRule>
    <cfRule type="expression" dxfId="75" priority="78">
      <formula>$D$35="#,###"</formula>
    </cfRule>
  </conditionalFormatting>
  <conditionalFormatting sqref="G65:J73 G108:G116 H113:J116 Q65:Q73 W108:W116">
    <cfRule type="expression" dxfId="74" priority="73">
      <formula>OR($D$56="$#,###.0",$D$56="$#,###")</formula>
    </cfRule>
    <cfRule type="expression" dxfId="73" priority="74">
      <formula>$D$56="0.0%"</formula>
    </cfRule>
    <cfRule type="expression" dxfId="72" priority="75">
      <formula>$D$56="#,###"</formula>
    </cfRule>
  </conditionalFormatting>
  <conditionalFormatting sqref="P108:P113 P44:W52">
    <cfRule type="expression" dxfId="71" priority="70">
      <formula>OR($M$38="$#,###.0",$M$38="$#,###")</formula>
    </cfRule>
    <cfRule type="expression" dxfId="70" priority="71">
      <formula>$M$38="0.0%"</formula>
    </cfRule>
    <cfRule type="expression" dxfId="69" priority="72">
      <formula>$M$38="#,###"</formula>
    </cfRule>
  </conditionalFormatting>
  <conditionalFormatting sqref="P65:W73 P108:W116">
    <cfRule type="expression" dxfId="68" priority="67">
      <formula>OR($M$59="$#,###.0",$M$59="$#,###")</formula>
    </cfRule>
    <cfRule type="expression" dxfId="67" priority="68">
      <formula>$M$59="0.0%"</formula>
    </cfRule>
    <cfRule type="expression" dxfId="66" priority="69">
      <formula>$M$59="#,###"</formula>
    </cfRule>
  </conditionalFormatting>
  <conditionalFormatting sqref="Q27:Q31">
    <cfRule type="expression" dxfId="65" priority="64">
      <formula>OR($D$17="$#,###.0",$D$17="$#,###")</formula>
    </cfRule>
    <cfRule type="expression" dxfId="64" priority="65">
      <formula>$D$17="0.0%"</formula>
    </cfRule>
    <cfRule type="expression" dxfId="63" priority="66">
      <formula>$D$17="#,###"</formula>
    </cfRule>
  </conditionalFormatting>
  <conditionalFormatting sqref="Q86:Q94">
    <cfRule type="expression" dxfId="62" priority="61">
      <formula>OR($D$80="$#,###.0",$D$80="$#,###")</formula>
    </cfRule>
    <cfRule type="expression" dxfId="61" priority="62">
      <formula>$D$80="0.0%"</formula>
    </cfRule>
    <cfRule type="expression" dxfId="60" priority="63">
      <formula>$D$80="#,###"</formula>
    </cfRule>
  </conditionalFormatting>
  <conditionalFormatting sqref="Q44:Q52">
    <cfRule type="expression" dxfId="59" priority="58">
      <formula>OR($D$35="$#,###.0",$D$35="$#,###")</formula>
    </cfRule>
    <cfRule type="expression" dxfId="58" priority="59">
      <formula>$D$35="0.0%"</formula>
    </cfRule>
    <cfRule type="expression" dxfId="57" priority="60">
      <formula>$D$35="#,###"</formula>
    </cfRule>
  </conditionalFormatting>
  <conditionalFormatting sqref="Q108:Q116">
    <cfRule type="expression" dxfId="56" priority="55">
      <formula>OR($D$56="$#,###.0",$D$56="$#,###")</formula>
    </cfRule>
    <cfRule type="expression" dxfId="55" priority="56">
      <formula>$D$56="0.0%"</formula>
    </cfRule>
    <cfRule type="expression" dxfId="54" priority="57">
      <formula>$D$56="#,###"</formula>
    </cfRule>
  </conditionalFormatting>
  <conditionalFormatting sqref="W23:W31">
    <cfRule type="expression" dxfId="53" priority="53">
      <formula>T$17="0.0%"</formula>
    </cfRule>
    <cfRule type="expression" dxfId="52" priority="54">
      <formula>T$17="#,###"</formula>
    </cfRule>
  </conditionalFormatting>
  <conditionalFormatting sqref="W23:W31">
    <cfRule type="expression" dxfId="51" priority="50">
      <formula>OR($D$17="$#,###.0",$D$17="$#,###")</formula>
    </cfRule>
    <cfRule type="expression" dxfId="50" priority="51">
      <formula>$D$17="0.0%"</formula>
    </cfRule>
    <cfRule type="expression" dxfId="49" priority="52">
      <formula>$D$17="#,###"</formula>
    </cfRule>
  </conditionalFormatting>
  <conditionalFormatting sqref="W86:W94">
    <cfRule type="expression" dxfId="48" priority="47">
      <formula>OR($D$80="$#,###.0",$D$80="$#,###")</formula>
    </cfRule>
    <cfRule type="expression" dxfId="47" priority="48">
      <formula>$D$80="0.0%"</formula>
    </cfRule>
    <cfRule type="expression" dxfId="46" priority="49">
      <formula>$D$80="#,###"</formula>
    </cfRule>
  </conditionalFormatting>
  <conditionalFormatting sqref="W44:W52">
    <cfRule type="expression" dxfId="45" priority="44">
      <formula>OR($D$35="$#,###.0",$D$35="$#,###")</formula>
    </cfRule>
    <cfRule type="expression" dxfId="44" priority="45">
      <formula>$D$35="0.0%"</formula>
    </cfRule>
    <cfRule type="expression" dxfId="43" priority="46">
      <formula>$D$35="#,###"</formula>
    </cfRule>
  </conditionalFormatting>
  <conditionalFormatting sqref="W65:W73">
    <cfRule type="expression" dxfId="42" priority="41">
      <formula>OR($D$56="$#,###.0",$D$56="$#,###")</formula>
    </cfRule>
    <cfRule type="expression" dxfId="41" priority="42">
      <formula>$D$56="0.0%"</formula>
    </cfRule>
    <cfRule type="expression" dxfId="40" priority="43">
      <formula>$D$56="#,###"</formula>
    </cfRule>
  </conditionalFormatting>
  <conditionalFormatting sqref="Q27:Q31">
    <cfRule type="expression" dxfId="39" priority="39">
      <formula>O$17="0.0%"</formula>
    </cfRule>
    <cfRule type="expression" dxfId="38" priority="40">
      <formula>O$17="#,###"</formula>
    </cfRule>
  </conditionalFormatting>
  <conditionalFormatting sqref="Q27:Q31">
    <cfRule type="expression" dxfId="37" priority="36">
      <formula>OR($D21="$#,###.0",$D21="$#,###")</formula>
    </cfRule>
    <cfRule type="expression" dxfId="36" priority="37">
      <formula>O$17="0.0%"</formula>
    </cfRule>
    <cfRule type="expression" dxfId="35" priority="38">
      <formula>O$17="#,###"</formula>
    </cfRule>
  </conditionalFormatting>
  <conditionalFormatting sqref="H23:J28">
    <cfRule type="expression" dxfId="34" priority="33">
      <formula>OR($D$17="$#,###.0",$D$17="$#,###")</formula>
    </cfRule>
    <cfRule type="expression" dxfId="33" priority="34">
      <formula>$D$17="0.0%"</formula>
    </cfRule>
    <cfRule type="expression" dxfId="32" priority="35">
      <formula>$D$17="#,###"</formula>
    </cfRule>
  </conditionalFormatting>
  <conditionalFormatting sqref="H44:J49">
    <cfRule type="expression" dxfId="31" priority="30">
      <formula>OR($D$17="$#,###.0",$D$17="$#,###")</formula>
    </cfRule>
    <cfRule type="expression" dxfId="30" priority="31">
      <formula>$D$17="0.0%"</formula>
    </cfRule>
    <cfRule type="expression" dxfId="29" priority="32">
      <formula>$D$17="#,###"</formula>
    </cfRule>
  </conditionalFormatting>
  <conditionalFormatting sqref="W65:W69">
    <cfRule type="expression" dxfId="28" priority="27">
      <formula>OR($D$56="$#,###.0",$D$56="$#,###")</formula>
    </cfRule>
    <cfRule type="expression" dxfId="27" priority="28">
      <formula>$D$56="0.0%"</formula>
    </cfRule>
    <cfRule type="expression" dxfId="26" priority="29">
      <formula>$D$56="#,###"</formula>
    </cfRule>
  </conditionalFormatting>
  <conditionalFormatting sqref="Q108:Q112">
    <cfRule type="expression" dxfId="25" priority="24">
      <formula>OR($D$56="$#,###.0",$D$56="$#,###")</formula>
    </cfRule>
    <cfRule type="expression" dxfId="24" priority="25">
      <formula>$D$56="0.0%"</formula>
    </cfRule>
    <cfRule type="expression" dxfId="23" priority="26">
      <formula>$D$56="#,###"</formula>
    </cfRule>
  </conditionalFormatting>
  <conditionalFormatting sqref="Q89:Q91">
    <cfRule type="expression" dxfId="22" priority="21">
      <formula>OR($D$80="$#,###.0",$D$80="$#,###")</formula>
    </cfRule>
    <cfRule type="expression" dxfId="21" priority="22">
      <formula>$D$80="0.0%"</formula>
    </cfRule>
    <cfRule type="expression" dxfId="20" priority="23">
      <formula>$D$80="#,###"</formula>
    </cfRule>
  </conditionalFormatting>
  <conditionalFormatting sqref="H86:J88">
    <cfRule type="expression" dxfId="19" priority="18">
      <formula>OR($M$80="$#,###.0",$M$80="$#,###")</formula>
    </cfRule>
    <cfRule type="expression" dxfId="18" priority="19">
      <formula>$M$80="0.0%"</formula>
    </cfRule>
    <cfRule type="expression" dxfId="17" priority="20">
      <formula>$M$80="#,###"</formula>
    </cfRule>
  </conditionalFormatting>
  <conditionalFormatting sqref="H86:J88">
    <cfRule type="expression" dxfId="16" priority="15">
      <formula>OR($D$80="$#,###.0",$D$80="$#,###")</formula>
    </cfRule>
    <cfRule type="expression" dxfId="15" priority="16">
      <formula>$D$80="0.0%"</formula>
    </cfRule>
    <cfRule type="expression" dxfId="14" priority="17">
      <formula>$D$80="#,###"</formula>
    </cfRule>
  </conditionalFormatting>
  <conditionalFormatting sqref="H89:J91">
    <cfRule type="expression" dxfId="13" priority="12">
      <formula>OR($M$80="$#,###.0",$M$80="$#,###")</formula>
    </cfRule>
    <cfRule type="expression" dxfId="12" priority="13">
      <formula>$M$80="0.0%"</formula>
    </cfRule>
    <cfRule type="expression" dxfId="11" priority="14">
      <formula>$M$80="#,###"</formula>
    </cfRule>
  </conditionalFormatting>
  <conditionalFormatting sqref="H89:J91">
    <cfRule type="expression" dxfId="10" priority="9">
      <formula>OR($D$80="$#,###.0",$D$80="$#,###")</formula>
    </cfRule>
    <cfRule type="expression" dxfId="9" priority="10">
      <formula>$D$80="0.0%"</formula>
    </cfRule>
    <cfRule type="expression" dxfId="8" priority="11">
      <formula>$D$80="#,###"</formula>
    </cfRule>
  </conditionalFormatting>
  <conditionalFormatting sqref="J23:J28 J44:J49">
    <cfRule type="expression" dxfId="7" priority="7">
      <formula>F$17="0.0%"</formula>
    </cfRule>
    <cfRule type="expression" dxfId="6" priority="8">
      <formula>F$17="#,###"</formula>
    </cfRule>
  </conditionalFormatting>
  <conditionalFormatting sqref="J23:J28 J44:J49">
    <cfRule type="expression" dxfId="5" priority="4">
      <formula>OR($D17="$#,###.0",$D17="$#,###")</formula>
    </cfRule>
    <cfRule type="expression" dxfId="4" priority="5">
      <formula>F$17="0.0%"</formula>
    </cfRule>
    <cfRule type="expression" dxfId="3" priority="6">
      <formula>F$17="#,###"</formula>
    </cfRule>
  </conditionalFormatting>
  <conditionalFormatting sqref="H65:J68">
    <cfRule type="expression" dxfId="2" priority="1">
      <formula>OR($D$56="$#,###.0",$D$56="$#,###")</formula>
    </cfRule>
    <cfRule type="expression" dxfId="1" priority="2">
      <formula>$D$56="0.0%"</formula>
    </cfRule>
    <cfRule type="expression" dxfId="0" priority="3">
      <formula>$D$56="#,###"</formula>
    </cfRule>
  </conditionalFormatting>
  <printOptions horizontalCentered="1" verticalCentered="1"/>
  <pageMargins left="0" right="0" top="0.25" bottom="0.3" header="0.05" footer="0.05"/>
  <pageSetup scale="56" orientation="portrait" horizontalDpi="1200" verticalDpi="1200" r:id="rId1"/>
  <headerFooter alignWithMargins="0">
    <oddFooter>&amp;LState University of New York System Administration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67"/>
  <sheetViews>
    <sheetView showGridLines="0" topLeftCell="H43" zoomScaleNormal="100" workbookViewId="0">
      <selection activeCell="J66" sqref="J66"/>
    </sheetView>
  </sheetViews>
  <sheetFormatPr defaultColWidth="9.140625" defaultRowHeight="11.25"/>
  <cols>
    <col min="1" max="3" width="9.140625" style="442" hidden="1" customWidth="1"/>
    <col min="4" max="4" width="17.7109375" style="442" hidden="1" customWidth="1"/>
    <col min="5" max="5" width="9.140625" style="442" hidden="1" customWidth="1"/>
    <col min="6" max="7" width="14.42578125" style="442" hidden="1" customWidth="1"/>
    <col min="8" max="8" width="3.85546875" style="452" customWidth="1"/>
    <col min="9" max="9" width="1" style="443" customWidth="1"/>
    <col min="10" max="10" width="4.42578125" style="443" customWidth="1"/>
    <col min="11" max="11" width="40.42578125" style="443" customWidth="1"/>
    <col min="12" max="12" width="10.7109375" style="444" customWidth="1"/>
    <col min="13" max="19" width="9.7109375" style="444" customWidth="1"/>
    <col min="20" max="21" width="9.140625" style="443" customWidth="1"/>
    <col min="22" max="22" width="18.28515625" style="443" bestFit="1" customWidth="1"/>
    <col min="23" max="16384" width="9.140625" style="443"/>
  </cols>
  <sheetData>
    <row r="1" spans="1:22" s="442" customFormat="1" hidden="1">
      <c r="C1" s="442">
        <v>2</v>
      </c>
      <c r="D1" s="442">
        <f t="shared" ref="D1:S1" si="0">+C1+1</f>
        <v>3</v>
      </c>
      <c r="E1" s="442">
        <f t="shared" si="0"/>
        <v>4</v>
      </c>
      <c r="F1" s="442">
        <f t="shared" si="0"/>
        <v>5</v>
      </c>
      <c r="G1" s="442">
        <f t="shared" si="0"/>
        <v>6</v>
      </c>
      <c r="H1" s="442">
        <f t="shared" si="0"/>
        <v>7</v>
      </c>
      <c r="I1" s="442">
        <f t="shared" si="0"/>
        <v>8</v>
      </c>
      <c r="J1" s="442">
        <f t="shared" si="0"/>
        <v>9</v>
      </c>
      <c r="K1" s="442">
        <f t="shared" si="0"/>
        <v>10</v>
      </c>
      <c r="L1" s="442">
        <f t="shared" si="0"/>
        <v>11</v>
      </c>
      <c r="M1" s="442">
        <f t="shared" si="0"/>
        <v>12</v>
      </c>
      <c r="N1" s="442">
        <f t="shared" si="0"/>
        <v>13</v>
      </c>
      <c r="O1" s="442">
        <f t="shared" si="0"/>
        <v>14</v>
      </c>
      <c r="P1" s="442">
        <f t="shared" si="0"/>
        <v>15</v>
      </c>
      <c r="Q1" s="442">
        <f t="shared" si="0"/>
        <v>16</v>
      </c>
      <c r="R1" s="442">
        <f t="shared" si="0"/>
        <v>17</v>
      </c>
      <c r="S1" s="442">
        <f t="shared" si="0"/>
        <v>18</v>
      </c>
      <c r="T1" s="442" t="e">
        <f>+#REF!+1</f>
        <v>#REF!</v>
      </c>
      <c r="U1" s="442" t="e">
        <f>+T1+1</f>
        <v>#REF!</v>
      </c>
    </row>
    <row r="2" spans="1:22" s="442" customFormat="1" hidden="1">
      <c r="L2" s="565" t="str">
        <f t="shared" ref="L2:U2" si="1">+L7</f>
        <v>Fall 2009</v>
      </c>
      <c r="M2" s="565" t="str">
        <f t="shared" si="1"/>
        <v>Fall 2010</v>
      </c>
      <c r="N2" s="565" t="str">
        <f t="shared" si="1"/>
        <v>Fall 2011</v>
      </c>
      <c r="O2" s="565" t="str">
        <f t="shared" si="1"/>
        <v>Fall 2012</v>
      </c>
      <c r="P2" s="565" t="str">
        <f t="shared" si="1"/>
        <v>Fall 2013</v>
      </c>
      <c r="Q2" s="565" t="str">
        <f t="shared" si="1"/>
        <v>Fall 2014</v>
      </c>
      <c r="R2" s="565" t="str">
        <f t="shared" si="1"/>
        <v>Change</v>
      </c>
      <c r="S2" s="565" t="str">
        <f t="shared" si="1"/>
        <v>% Change</v>
      </c>
      <c r="T2" s="565" t="str">
        <f t="shared" si="1"/>
        <v>Fall 2018</v>
      </c>
      <c r="U2" s="565" t="str">
        <f t="shared" si="1"/>
        <v>Fall 2020</v>
      </c>
    </row>
    <row r="3" spans="1:22" s="442" customFormat="1" hidden="1">
      <c r="L3" s="565" t="str">
        <f t="shared" ref="L3:Q3" si="2">+L21</f>
        <v>2009-10</v>
      </c>
      <c r="M3" s="565" t="str">
        <f t="shared" si="2"/>
        <v>2010-11</v>
      </c>
      <c r="N3" s="565" t="str">
        <f t="shared" si="2"/>
        <v>2011-12</v>
      </c>
      <c r="O3" s="565" t="str">
        <f t="shared" si="2"/>
        <v>2012-13</v>
      </c>
      <c r="P3" s="565" t="str">
        <f t="shared" si="2"/>
        <v>2013-14</v>
      </c>
      <c r="Q3" s="565" t="str">
        <f t="shared" si="2"/>
        <v>2014-15</v>
      </c>
      <c r="R3" s="565"/>
      <c r="S3" s="565"/>
      <c r="T3" s="565" t="str">
        <f>+T21</f>
        <v>2018-19</v>
      </c>
      <c r="U3" s="565" t="str">
        <f>+U21</f>
        <v>2020-21</v>
      </c>
    </row>
    <row r="5" spans="1:22" ht="30.75" thickBot="1">
      <c r="A5" s="445">
        <f>+'Campus Selector'!G6</f>
        <v>25</v>
      </c>
      <c r="B5" s="445"/>
      <c r="C5" s="445"/>
      <c r="D5" s="445"/>
      <c r="E5" s="445"/>
      <c r="F5" s="445"/>
      <c r="G5" s="445"/>
      <c r="H5" s="525"/>
      <c r="I5" s="609" t="str">
        <f>+'Campus Selector'!G3</f>
        <v>Canton</v>
      </c>
      <c r="J5" s="609"/>
      <c r="K5" s="609"/>
      <c r="L5" s="610"/>
      <c r="M5" s="611"/>
      <c r="N5" s="611"/>
      <c r="O5" s="611"/>
      <c r="P5" s="611"/>
      <c r="Q5" s="611"/>
      <c r="R5" s="809" t="str">
        <f ca="1">TEXT(NOW(),"MMMM YYYY")</f>
        <v>October 2015</v>
      </c>
      <c r="S5" s="809"/>
      <c r="T5" s="809"/>
      <c r="U5" s="809"/>
    </row>
    <row r="6" spans="1:22" ht="33.75" customHeight="1" thickTop="1">
      <c r="I6" s="810" t="s">
        <v>652</v>
      </c>
      <c r="J6" s="810"/>
      <c r="K6" s="810"/>
      <c r="L6" s="810"/>
      <c r="M6" s="810"/>
      <c r="N6" s="810"/>
      <c r="O6" s="810"/>
      <c r="P6" s="810"/>
      <c r="Q6" s="810"/>
      <c r="R6" s="810"/>
      <c r="S6" s="810"/>
      <c r="T6" s="447"/>
      <c r="U6" s="446"/>
    </row>
    <row r="7" spans="1:22" s="452" customFormat="1" ht="24.75" customHeight="1" thickBot="1">
      <c r="A7" s="442"/>
      <c r="B7" s="442"/>
      <c r="C7" s="442" t="s">
        <v>601</v>
      </c>
      <c r="D7" s="442" t="s">
        <v>602</v>
      </c>
      <c r="E7" s="442" t="s">
        <v>608</v>
      </c>
      <c r="F7" s="442" t="s">
        <v>613</v>
      </c>
      <c r="G7" s="442" t="s">
        <v>621</v>
      </c>
      <c r="J7" s="564" t="s">
        <v>225</v>
      </c>
      <c r="K7" s="449" t="s">
        <v>237</v>
      </c>
      <c r="L7" s="450" t="s">
        <v>49</v>
      </c>
      <c r="M7" s="450" t="s">
        <v>50</v>
      </c>
      <c r="N7" s="450" t="s">
        <v>51</v>
      </c>
      <c r="O7" s="450" t="s">
        <v>52</v>
      </c>
      <c r="P7" s="450" t="s">
        <v>53</v>
      </c>
      <c r="Q7" s="450" t="s">
        <v>261</v>
      </c>
      <c r="R7" s="450" t="s">
        <v>637</v>
      </c>
      <c r="S7" s="607" t="s">
        <v>599</v>
      </c>
      <c r="T7" s="451" t="s">
        <v>257</v>
      </c>
      <c r="U7" s="451" t="s">
        <v>226</v>
      </c>
    </row>
    <row r="8" spans="1:22" ht="21.2" customHeight="1">
      <c r="B8" s="442">
        <f t="shared" ref="B8:B39" si="3">+J8</f>
        <v>1</v>
      </c>
      <c r="C8" s="442" t="str">
        <f t="shared" ref="C8:C15" si="4">+$I$5</f>
        <v>Canton</v>
      </c>
      <c r="D8" s="442" t="str">
        <f>+K7</f>
        <v>Access</v>
      </c>
      <c r="E8" s="442" t="s">
        <v>609</v>
      </c>
      <c r="F8" s="442" t="s">
        <v>616</v>
      </c>
      <c r="G8" s="442" t="s">
        <v>623</v>
      </c>
      <c r="I8" s="453"/>
      <c r="J8" s="454">
        <v>1</v>
      </c>
      <c r="K8" s="455" t="s">
        <v>223</v>
      </c>
      <c r="L8" s="456">
        <f>+'Enrollment 5YR'!F9</f>
        <v>3320</v>
      </c>
      <c r="M8" s="456">
        <f>+'Enrollment 5YR'!G9</f>
        <v>3655</v>
      </c>
      <c r="N8" s="456">
        <f>+'Enrollment 5YR'!H9</f>
        <v>3825</v>
      </c>
      <c r="O8" s="456">
        <f>+'Enrollment 5YR'!I9</f>
        <v>3780</v>
      </c>
      <c r="P8" s="456">
        <f>+'Enrollment 5YR'!J9</f>
        <v>3512</v>
      </c>
      <c r="Q8" s="456">
        <f>+'Enrollment 5YR'!K9</f>
        <v>3282</v>
      </c>
      <c r="R8" s="653">
        <f>IF(OR(Q8="-",Q8="n/a",Q8=0),(P8-L8),(Q8-L8))</f>
        <v>-38</v>
      </c>
      <c r="S8" s="457">
        <f>IF(OR(Q8="-",Q8="n/a",Q8=0),(P8-L8)/L8,(Q8-L8)/L8)</f>
        <v>-1.144578313253012E-2</v>
      </c>
      <c r="T8" s="458">
        <v>3600</v>
      </c>
      <c r="U8" s="459">
        <v>3800</v>
      </c>
    </row>
    <row r="9" spans="1:22" ht="21.2" customHeight="1">
      <c r="B9" s="442">
        <f t="shared" si="3"/>
        <v>2</v>
      </c>
      <c r="C9" s="442" t="str">
        <f t="shared" si="4"/>
        <v>Canton</v>
      </c>
      <c r="D9" s="442" t="str">
        <f t="shared" ref="D9:D15" si="5">+D8</f>
        <v>Access</v>
      </c>
      <c r="E9" s="442" t="s">
        <v>609</v>
      </c>
      <c r="F9" s="442" t="s">
        <v>616</v>
      </c>
      <c r="G9" s="442" t="s">
        <v>622</v>
      </c>
      <c r="I9" s="453"/>
      <c r="J9" s="454">
        <f t="shared" ref="J9:J14" si="6">J8+1</f>
        <v>2</v>
      </c>
      <c r="K9" s="460" t="s">
        <v>222</v>
      </c>
      <c r="L9" s="456">
        <f>+'Enrollment 5YR'!F46</f>
        <v>2737.7666666666664</v>
      </c>
      <c r="M9" s="456">
        <f>+'Enrollment 5YR'!G46</f>
        <v>2983.166666666667</v>
      </c>
      <c r="N9" s="456">
        <f>+'Enrollment 5YR'!H46</f>
        <v>3027.1333333333332</v>
      </c>
      <c r="O9" s="456">
        <f>+'Enrollment 5YR'!I46</f>
        <v>3119.2333333333336</v>
      </c>
      <c r="P9" s="456">
        <f>+'Enrollment 5YR'!J46</f>
        <v>2963.7000000000003</v>
      </c>
      <c r="Q9" s="456">
        <f>+'Enrollment 5YR'!K46</f>
        <v>2796.5740000000001</v>
      </c>
      <c r="R9" s="653">
        <f>IF(OR(Q9="-",Q9="n/a",Q9=0),(P9-L9),(Q9-L9))</f>
        <v>58.807333333333645</v>
      </c>
      <c r="S9" s="457">
        <f>IF(OR(Q9="-",Q9="n/a",Q9=0),(P9-L9)/L9,(Q9-L9)/L9)</f>
        <v>2.1480038474182235E-2</v>
      </c>
      <c r="T9" s="458">
        <v>3120</v>
      </c>
      <c r="U9" s="459">
        <v>3268</v>
      </c>
    </row>
    <row r="10" spans="1:22" ht="21.2" customHeight="1">
      <c r="B10" s="442">
        <f t="shared" si="3"/>
        <v>3</v>
      </c>
      <c r="C10" s="442" t="str">
        <f t="shared" si="4"/>
        <v>Canton</v>
      </c>
      <c r="D10" s="442" t="str">
        <f t="shared" si="5"/>
        <v>Access</v>
      </c>
      <c r="E10" s="566" t="s">
        <v>612</v>
      </c>
      <c r="F10" s="442" t="s">
        <v>616</v>
      </c>
      <c r="G10" s="442" t="s">
        <v>623</v>
      </c>
      <c r="I10" s="453"/>
      <c r="J10" s="454">
        <f t="shared" si="6"/>
        <v>3</v>
      </c>
      <c r="K10" s="460" t="s">
        <v>28</v>
      </c>
      <c r="L10" s="461">
        <f>+'Applicant Acceptance'!F11</f>
        <v>0.87035763411279232</v>
      </c>
      <c r="M10" s="461">
        <f>+'Applicant Acceptance'!G11</f>
        <v>0.82856263465681745</v>
      </c>
      <c r="N10" s="461">
        <f>+'Applicant Acceptance'!H11</f>
        <v>0.74054893837389957</v>
      </c>
      <c r="O10" s="461">
        <f>+'Applicant Acceptance'!I11</f>
        <v>0.74682667897530575</v>
      </c>
      <c r="P10" s="461">
        <f>+'Applicant Acceptance'!J11</f>
        <v>0.78952069068175057</v>
      </c>
      <c r="Q10" s="461">
        <f>+'Applicant Acceptance'!K11</f>
        <v>0.70136986301369864</v>
      </c>
      <c r="R10" s="461">
        <f>IF(ISERROR(IF(OR(Q10="-",Q10="n/a",Q10=0),(P10-L10),(Q10-L10))),"-",IF(OR(Q10="-",Q10="n/a",Q10=0),(P10-L10),(Q10-L10)))</f>
        <v>-0.16898777109909369</v>
      </c>
      <c r="S10" s="518">
        <f>IF(ISERROR(IF(OR(Q10="-",Q10="n/a",Q10=0),(P10-L10)/L10,(Q10-L10)/L10)),"-",IF(OR(Q10="-",Q10="n/a",Q10=0),(P10-L10)/L10,(Q10-L10)/L10))</f>
        <v>-0.19415900369662759</v>
      </c>
      <c r="T10" s="804">
        <v>0.73299999999999998</v>
      </c>
      <c r="U10" s="803">
        <v>0.7</v>
      </c>
    </row>
    <row r="11" spans="1:22" ht="21.2" customHeight="1">
      <c r="B11" s="442">
        <f t="shared" si="3"/>
        <v>4</v>
      </c>
      <c r="C11" s="442" t="str">
        <f t="shared" si="4"/>
        <v>Canton</v>
      </c>
      <c r="D11" s="442" t="str">
        <f t="shared" si="5"/>
        <v>Access</v>
      </c>
      <c r="E11" s="566" t="s">
        <v>612</v>
      </c>
      <c r="F11" s="442" t="s">
        <v>616</v>
      </c>
      <c r="G11" s="442" t="s">
        <v>623</v>
      </c>
      <c r="I11" s="453"/>
      <c r="J11" s="454">
        <f t="shared" si="6"/>
        <v>4</v>
      </c>
      <c r="K11" s="460" t="s">
        <v>30</v>
      </c>
      <c r="L11" s="461">
        <f>+'Applicant Acceptance'!F13</f>
        <v>0.38008692216515211</v>
      </c>
      <c r="M11" s="461">
        <f>+'Applicant Acceptance'!G13</f>
        <v>0.34323922734026746</v>
      </c>
      <c r="N11" s="461">
        <f>+'Applicant Acceptance'!H13</f>
        <v>0.33041958041958042</v>
      </c>
      <c r="O11" s="461">
        <f>+'Applicant Acceptance'!I13</f>
        <v>0.30562422744128553</v>
      </c>
      <c r="P11" s="461">
        <f>+'Applicant Acceptance'!J13</f>
        <v>0.29110105580693818</v>
      </c>
      <c r="Q11" s="461">
        <f>+'Applicant Acceptance'!K13</f>
        <v>0.236328125</v>
      </c>
      <c r="R11" s="461">
        <f>IF(ISERROR(IF(OR(Q11="-",Q11="n/a",Q11=0),(P11-L11),(Q11-L11))),"-",IF(OR(Q11="-",Q11="n/a",Q11=0),(P11-L11),(Q11-L11)))</f>
        <v>-0.14375879716515211</v>
      </c>
      <c r="S11" s="518">
        <f>IF(ISERROR(IF(OR(Q11="-",Q11="n/a",Q11=0),(P11-L11)/L11,(Q11-L11)/L11)),"-",IF(OR(Q11="-",Q11="n/a",Q11=0),(P11-L11)/L11,(Q11-L11)/L11))</f>
        <v>-0.37822610771829523</v>
      </c>
      <c r="T11" s="804">
        <v>0.22500000000000001</v>
      </c>
      <c r="U11" s="803">
        <v>0.22900000000000001</v>
      </c>
    </row>
    <row r="12" spans="1:22" ht="21.2" customHeight="1">
      <c r="B12" s="442">
        <f t="shared" si="3"/>
        <v>5</v>
      </c>
      <c r="C12" s="442" t="str">
        <f t="shared" si="4"/>
        <v>Canton</v>
      </c>
      <c r="D12" s="442" t="str">
        <f t="shared" si="5"/>
        <v>Access</v>
      </c>
      <c r="E12" s="566" t="s">
        <v>612</v>
      </c>
      <c r="F12" s="442" t="s">
        <v>616</v>
      </c>
      <c r="G12" s="442" t="s">
        <v>623</v>
      </c>
      <c r="I12" s="453"/>
      <c r="J12" s="454">
        <f t="shared" si="6"/>
        <v>5</v>
      </c>
      <c r="K12" s="455" t="s">
        <v>221</v>
      </c>
      <c r="L12" s="461">
        <f>+'Enrollment 5YR'!F10</f>
        <v>0.77469879518072293</v>
      </c>
      <c r="M12" s="461">
        <f>+'Enrollment 5YR'!G10</f>
        <v>0.75868673050615598</v>
      </c>
      <c r="N12" s="461">
        <f>+'Enrollment 5YR'!H10</f>
        <v>0.77176470588235291</v>
      </c>
      <c r="O12" s="461">
        <f>+'Enrollment 5YR'!I10</f>
        <v>0.81666666666666665</v>
      </c>
      <c r="P12" s="461">
        <f>+'Enrollment 5YR'!J10</f>
        <v>0.83656036446469251</v>
      </c>
      <c r="Q12" s="461">
        <f>+'Enrollment 5YR'!K10</f>
        <v>0.85100548446069468</v>
      </c>
      <c r="R12" s="461">
        <f>IF(OR(Q12="-",Q12="n/a",Q12=0),(P12-L12),(Q12-L12))</f>
        <v>7.6306689279971751E-2</v>
      </c>
      <c r="S12" s="457">
        <f>IF(OR(Q12="-",Q12="n/a",Q12=0),(P12-L12)/L12,(Q12-L12)/L12)</f>
        <v>9.849852582018126E-2</v>
      </c>
      <c r="T12" s="462">
        <v>0.8</v>
      </c>
      <c r="U12" s="463">
        <v>0.79</v>
      </c>
      <c r="V12" s="612"/>
    </row>
    <row r="13" spans="1:22" s="452" customFormat="1" ht="21.2" customHeight="1">
      <c r="A13" s="442"/>
      <c r="B13" s="442">
        <f t="shared" si="3"/>
        <v>6</v>
      </c>
      <c r="C13" s="442" t="str">
        <f t="shared" si="4"/>
        <v>Canton</v>
      </c>
      <c r="D13" s="442" t="str">
        <f t="shared" si="5"/>
        <v>Access</v>
      </c>
      <c r="E13" s="566" t="s">
        <v>612</v>
      </c>
      <c r="F13" s="442" t="s">
        <v>616</v>
      </c>
      <c r="G13" s="442" t="s">
        <v>623</v>
      </c>
      <c r="I13" s="453"/>
      <c r="J13" s="454">
        <f t="shared" si="6"/>
        <v>6</v>
      </c>
      <c r="K13" s="460" t="s">
        <v>229</v>
      </c>
      <c r="L13" s="461">
        <f>+'Geographic Diversity 5 Year'!F10</f>
        <v>0.88403614457831325</v>
      </c>
      <c r="M13" s="461">
        <f>+'Geographic Diversity 5 Year'!G10</f>
        <v>0.86757865937072498</v>
      </c>
      <c r="N13" s="461">
        <f>+'Geographic Diversity 5 Year'!H10</f>
        <v>0.88366013071895422</v>
      </c>
      <c r="O13" s="461">
        <f>+'Geographic Diversity 5 Year'!I10</f>
        <v>0.90899470899470902</v>
      </c>
      <c r="P13" s="461">
        <f>+'Geographic Diversity 5 Year'!J10</f>
        <v>0.94561503416856496</v>
      </c>
      <c r="Q13" s="461">
        <f>+'Geographic Diversity 5 Year'!K10</f>
        <v>0.9527726995734308</v>
      </c>
      <c r="R13" s="461">
        <f>IF(ISERROR(IF(OR(Q13="-",Q13="n/a",Q13=0),(P13-L13),(Q13-L13))),"-",IF(OR(Q13="-",Q13="n/a",Q13=0),(P13-L13),(Q13-L13)))</f>
        <v>6.8736554995117549E-2</v>
      </c>
      <c r="S13" s="518">
        <f>IF(ISERROR(IF(OR(Q13="-",Q13="n/a",Q13=0),(P13-L13)/L13,(Q13-L13)/L13)),"-",IF(OR(Q13="-",Q13="n/a",Q13=0),(P13-L13)/L13,(Q13-L13)/L13))</f>
        <v>7.7753104798565675E-2</v>
      </c>
      <c r="T13" s="462">
        <v>0.94</v>
      </c>
      <c r="U13" s="463">
        <v>0.92</v>
      </c>
    </row>
    <row r="14" spans="1:22" s="452" customFormat="1" ht="21.2" customHeight="1">
      <c r="A14" s="442"/>
      <c r="B14" s="442">
        <f t="shared" si="3"/>
        <v>7</v>
      </c>
      <c r="C14" s="442" t="str">
        <f t="shared" si="4"/>
        <v>Canton</v>
      </c>
      <c r="D14" s="442" t="str">
        <f t="shared" si="5"/>
        <v>Access</v>
      </c>
      <c r="E14" s="566" t="s">
        <v>612</v>
      </c>
      <c r="F14" s="442" t="s">
        <v>616</v>
      </c>
      <c r="G14" s="442" t="s">
        <v>623</v>
      </c>
      <c r="I14" s="453"/>
      <c r="J14" s="454">
        <f t="shared" si="6"/>
        <v>7</v>
      </c>
      <c r="K14" s="460" t="s">
        <v>230</v>
      </c>
      <c r="L14" s="461">
        <f>+'Geographic Diversity 5 Year'!F14</f>
        <v>9.5481927710843378E-2</v>
      </c>
      <c r="M14" s="461">
        <f>+'Geographic Diversity 5 Year'!G14</f>
        <v>0.10533515731874145</v>
      </c>
      <c r="N14" s="461">
        <f>+'Geographic Diversity 5 Year'!H14</f>
        <v>8.5228758169934637E-2</v>
      </c>
      <c r="O14" s="461">
        <f>+'Geographic Diversity 5 Year'!I14</f>
        <v>6.0846560846560843E-2</v>
      </c>
      <c r="P14" s="461">
        <f>+'Geographic Diversity 5 Year'!J14</f>
        <v>2.4772209567198177E-2</v>
      </c>
      <c r="Q14" s="461">
        <f>+'Geographic Diversity 5 Year'!K14</f>
        <v>1.6758074344911639E-2</v>
      </c>
      <c r="R14" s="461">
        <f>IF(ISERROR(IF(OR(Q14="-",Q14="n/a",Q14=0),(P14-L14),(Q14-L14))),"-",IF(OR(Q14="-",Q14="n/a",Q14=0),(P14-L14),(Q14-L14)))</f>
        <v>-7.872385336593174E-2</v>
      </c>
      <c r="S14" s="518">
        <f>IF(ISERROR(IF(OR(Q14="-",Q14="n/a",Q14=0),(P14-L14)/L14,(Q14-L14)/L14)),"-",IF(OR(Q14="-",Q14="n/a",Q14=0),(P14-L14)/L14,(Q14-L14)/L14))</f>
        <v>-0.82448956837505794</v>
      </c>
      <c r="T14" s="462">
        <v>2.4E-2</v>
      </c>
      <c r="U14" s="463">
        <v>0.03</v>
      </c>
    </row>
    <row r="15" spans="1:22" ht="21.2" customHeight="1">
      <c r="B15" s="442" t="str">
        <f t="shared" si="3"/>
        <v>8a</v>
      </c>
      <c r="C15" s="442" t="str">
        <f t="shared" si="4"/>
        <v>Canton</v>
      </c>
      <c r="D15" s="442" t="str">
        <f t="shared" si="5"/>
        <v>Access</v>
      </c>
      <c r="E15" s="566" t="s">
        <v>612</v>
      </c>
      <c r="F15" s="442" t="s">
        <v>616</v>
      </c>
      <c r="G15" s="442" t="s">
        <v>623</v>
      </c>
      <c r="I15" s="453"/>
      <c r="J15" s="454" t="s">
        <v>665</v>
      </c>
      <c r="K15" s="460" t="s">
        <v>661</v>
      </c>
      <c r="L15" s="461">
        <f>+'Student Diversity 5 Year'!F22</f>
        <v>0.17048192771084336</v>
      </c>
      <c r="M15" s="461">
        <f>+'Student Diversity 5 Year'!G22</f>
        <v>0.16634746922024624</v>
      </c>
      <c r="N15" s="461">
        <f>+'Student Diversity 5 Year'!H22</f>
        <v>0.20941176470588235</v>
      </c>
      <c r="O15" s="461">
        <f>+'Student Diversity 5 Year'!I22</f>
        <v>0.22301587301587303</v>
      </c>
      <c r="P15" s="461">
        <f>+'Student Diversity 5 Year'!J22</f>
        <v>0.24259681093394078</v>
      </c>
      <c r="Q15" s="461">
        <f>+'Student Diversity 5 Year'!K22</f>
        <v>0.26477757464960389</v>
      </c>
      <c r="R15" s="461">
        <f>IF(OR(Q15="-",Q15="n/a",Q15=0),(P15-L15),(Q15-L15))</f>
        <v>9.4295646938760525E-2</v>
      </c>
      <c r="S15" s="457">
        <f>IF(OR(Q15="-",Q15="n/a",Q15=0),(P15-L15)/L15,(Q15-L15)/L15)</f>
        <v>0.55311227532983209</v>
      </c>
      <c r="T15" s="811"/>
      <c r="U15" s="811"/>
    </row>
    <row r="16" spans="1:22" ht="21.2" customHeight="1">
      <c r="B16" s="442" t="str">
        <f t="shared" si="3"/>
        <v>8b</v>
      </c>
      <c r="E16" s="566"/>
      <c r="I16" s="453"/>
      <c r="J16" s="454" t="s">
        <v>666</v>
      </c>
      <c r="K16" s="460" t="s">
        <v>660</v>
      </c>
      <c r="L16" s="461">
        <f>+'Student Diversity 5 Year'!F25</f>
        <v>0.16114457831325302</v>
      </c>
      <c r="M16" s="461">
        <f>+'Student Diversity 5 Year'!G25</f>
        <v>0.15923392612859097</v>
      </c>
      <c r="N16" s="461">
        <f>+'Student Diversity 5 Year'!H25</f>
        <v>0.20026143790849674</v>
      </c>
      <c r="O16" s="461">
        <f>+'Student Diversity 5 Year'!I25</f>
        <v>0.21269841269841269</v>
      </c>
      <c r="P16" s="461">
        <f>+'Student Diversity 5 Year'!J25</f>
        <v>0.23320045558086561</v>
      </c>
      <c r="Q16" s="461">
        <f>+'Student Diversity 5 Year'!K25</f>
        <v>0.2535039609993906</v>
      </c>
      <c r="R16" s="461">
        <f>IF(OR(Q16="-",Q16="n/a",Q16=0),(P16-L16),(Q16-L16))</f>
        <v>9.2359382686137581E-2</v>
      </c>
      <c r="S16" s="457">
        <f>IF(OR(Q16="-",Q16="n/a",Q16=0),(P16-L16)/L16,(Q16-L16)/L16)</f>
        <v>0.57314607573453602</v>
      </c>
      <c r="T16" s="811"/>
      <c r="U16" s="811"/>
    </row>
    <row r="17" spans="1:21" ht="21.2" customHeight="1">
      <c r="B17" s="442">
        <f t="shared" si="3"/>
        <v>9</v>
      </c>
      <c r="C17" s="442" t="str">
        <f>+$I$5</f>
        <v>Canton</v>
      </c>
      <c r="D17" s="442" t="str">
        <f>+D15</f>
        <v>Access</v>
      </c>
      <c r="E17" s="566" t="s">
        <v>612</v>
      </c>
      <c r="F17" s="442" t="s">
        <v>616</v>
      </c>
      <c r="G17" s="442" t="s">
        <v>623</v>
      </c>
      <c r="I17" s="453"/>
      <c r="J17" s="454">
        <v>9</v>
      </c>
      <c r="K17" s="460" t="s">
        <v>565</v>
      </c>
      <c r="L17" s="461">
        <f>+'Student Diversity 5 Year'!F33</f>
        <v>0.49156626506024098</v>
      </c>
      <c r="M17" s="461">
        <f>+'Student Diversity 5 Year'!G33</f>
        <v>0.47168262653898768</v>
      </c>
      <c r="N17" s="461">
        <f>+'Student Diversity 5 Year'!H33</f>
        <v>0.47660130718954247</v>
      </c>
      <c r="O17" s="461">
        <f>+'Student Diversity 5 Year'!I33</f>
        <v>0.4552910052910053</v>
      </c>
      <c r="P17" s="461">
        <f>+'Student Diversity 5 Year'!J33</f>
        <v>0.44447608200455579</v>
      </c>
      <c r="Q17" s="461">
        <f>+'Student Diversity 5 Year'!K33</f>
        <v>0.44606946983546619</v>
      </c>
      <c r="R17" s="461">
        <f>IF(OR(Q17="-",Q17="n/a",Q17=0),(P17-L17),(Q17-L17))</f>
        <v>-4.5496795224774789E-2</v>
      </c>
      <c r="S17" s="457">
        <f>IF(OR(Q17="-",Q17="n/a",Q17=0),(P17-L17)/L17,(Q17-L17)/L17)</f>
        <v>-9.2554754991576157E-2</v>
      </c>
      <c r="T17" s="462">
        <v>0.46</v>
      </c>
      <c r="U17" s="463">
        <v>0.47</v>
      </c>
    </row>
    <row r="18" spans="1:21" ht="21.2" customHeight="1">
      <c r="B18" s="442">
        <f t="shared" si="3"/>
        <v>10</v>
      </c>
      <c r="C18" s="442" t="str">
        <f>+$I$5</f>
        <v>Canton</v>
      </c>
      <c r="D18" s="442" t="str">
        <f>+D17</f>
        <v>Access</v>
      </c>
      <c r="E18" s="566" t="s">
        <v>612</v>
      </c>
      <c r="F18" s="442" t="s">
        <v>616</v>
      </c>
      <c r="G18" s="442" t="s">
        <v>623</v>
      </c>
      <c r="I18" s="453"/>
      <c r="J18" s="454">
        <f>+J17+1</f>
        <v>10</v>
      </c>
      <c r="K18" s="460" t="s">
        <v>566</v>
      </c>
      <c r="L18" s="655" t="s">
        <v>187</v>
      </c>
      <c r="M18" s="655" t="s">
        <v>187</v>
      </c>
      <c r="N18" s="461">
        <f>+'Student Diversity 5 Year'!H43</f>
        <v>0.61997526283240567</v>
      </c>
      <c r="O18" s="461">
        <f>IF(ISERROR(+'Student Diversity 5 Year'!I43),"-",+'Student Diversity 5 Year'!I43)</f>
        <v>0.61081716637272188</v>
      </c>
      <c r="P18" s="461">
        <f>IF(ISERROR(+'Student Diversity 5 Year'!J43),"-",+'Student Diversity 5 Year'!J43)</f>
        <v>0.596759400794864</v>
      </c>
      <c r="Q18" s="461">
        <f>IF(ISERROR(+'Student Diversity 5 Year'!K43),"-",+'Student Diversity 5 Year'!K43)</f>
        <v>0.58163595215001618</v>
      </c>
      <c r="R18" s="461">
        <f>IF(ISERROR(IF(OR(Q18="-",Q18="n/a",Q18=0),(P18-N18),(Q18-N18))),"-",IF(OR(Q18="-",Q18="n/a",Q18=0),(P18-N18),(Q18-N18)))</f>
        <v>-3.8339310682389494E-2</v>
      </c>
      <c r="S18" s="518">
        <f>IF(ISERROR(IF(OR(Q18="-",Q18="n/a",Q18=0),(P18-N18)/N18,(Q18-N18)/N18)),"-",IF(OR(Q18="-",Q18="n/a",Q18=0),(P18-N18)/N18,(Q18-N18)/N18))</f>
        <v>-6.1840065210397817E-2</v>
      </c>
      <c r="T18" s="462">
        <v>0.6</v>
      </c>
      <c r="U18" s="463">
        <v>0.6</v>
      </c>
    </row>
    <row r="19" spans="1:21" ht="21.2" customHeight="1">
      <c r="B19" s="442">
        <f t="shared" si="3"/>
        <v>11</v>
      </c>
      <c r="C19" s="442" t="str">
        <f>+$I$5</f>
        <v>Canton</v>
      </c>
      <c r="D19" s="442" t="str">
        <f>+D18</f>
        <v>Access</v>
      </c>
      <c r="E19" s="442" t="s">
        <v>609</v>
      </c>
      <c r="F19" s="442" t="s">
        <v>616</v>
      </c>
      <c r="G19" s="442" t="s">
        <v>623</v>
      </c>
      <c r="I19" s="453"/>
      <c r="J19" s="454">
        <f>+J18+1</f>
        <v>11</v>
      </c>
      <c r="K19" s="460" t="s">
        <v>638</v>
      </c>
      <c r="L19" s="653">
        <f>+'Student Diversity 5 Year'!F47</f>
        <v>289</v>
      </c>
      <c r="M19" s="653">
        <f>+'Student Diversity 5 Year'!G47</f>
        <v>282</v>
      </c>
      <c r="N19" s="653">
        <f>+'Student Diversity 5 Year'!H47</f>
        <v>287</v>
      </c>
      <c r="O19" s="653">
        <f>+'Student Diversity 5 Year'!I47</f>
        <v>260</v>
      </c>
      <c r="P19" s="653">
        <f>+'Student Diversity 5 Year'!J47</f>
        <v>245</v>
      </c>
      <c r="Q19" s="653">
        <f>+'Student Diversity 5 Year'!K47</f>
        <v>231</v>
      </c>
      <c r="R19" s="653">
        <f>IF(OR(Q19="-",Q19="n/a",Q19=0),(P19-L19),(Q19-L19))</f>
        <v>-58</v>
      </c>
      <c r="S19" s="518">
        <f>IF(ISERROR(IF(OR(Q19="-",Q19="n/a",Q19=0),(P19-L19)/L19,(Q19-L19)/L19)),"-",IF(OR(Q19="-",Q19="n/a",Q19=0),(P19-L19)/L19,(Q19-L19)/L19))</f>
        <v>-0.20069204152249134</v>
      </c>
      <c r="T19" s="802">
        <v>245</v>
      </c>
      <c r="U19" s="801">
        <v>245</v>
      </c>
    </row>
    <row r="20" spans="1:21" s="452" customFormat="1" ht="11.1" customHeight="1">
      <c r="A20" s="442"/>
      <c r="B20" s="442">
        <f t="shared" si="3"/>
        <v>0</v>
      </c>
      <c r="C20" s="442"/>
      <c r="D20" s="442"/>
      <c r="E20" s="442"/>
      <c r="F20" s="442"/>
      <c r="G20" s="442"/>
      <c r="I20" s="453"/>
      <c r="J20" s="454"/>
      <c r="K20" s="460"/>
      <c r="L20" s="464"/>
      <c r="M20" s="464"/>
      <c r="N20" s="464"/>
      <c r="O20" s="464"/>
      <c r="P20" s="464"/>
      <c r="Q20" s="464"/>
      <c r="R20" s="464"/>
      <c r="S20" s="465"/>
      <c r="T20" s="464"/>
      <c r="U20" s="464"/>
    </row>
    <row r="21" spans="1:21" ht="24" thickBot="1">
      <c r="B21" s="442">
        <f t="shared" si="3"/>
        <v>0</v>
      </c>
      <c r="I21" s="470"/>
      <c r="J21" s="471"/>
      <c r="K21" s="449" t="s">
        <v>238</v>
      </c>
      <c r="L21" s="606" t="s">
        <v>64</v>
      </c>
      <c r="M21" s="606" t="s">
        <v>65</v>
      </c>
      <c r="N21" s="606" t="s">
        <v>66</v>
      </c>
      <c r="O21" s="606" t="s">
        <v>67</v>
      </c>
      <c r="P21" s="606" t="s">
        <v>68</v>
      </c>
      <c r="Q21" s="606" t="s">
        <v>508</v>
      </c>
      <c r="R21" s="606" t="str">
        <f>+R7</f>
        <v>Change</v>
      </c>
      <c r="S21" s="607" t="s">
        <v>599</v>
      </c>
      <c r="T21" s="450" t="s">
        <v>617</v>
      </c>
      <c r="U21" s="450" t="s">
        <v>618</v>
      </c>
    </row>
    <row r="22" spans="1:21" ht="21.2" customHeight="1">
      <c r="B22" s="442">
        <f t="shared" si="3"/>
        <v>12</v>
      </c>
      <c r="C22" s="442" t="str">
        <f t="shared" ref="C22:C32" si="7">+$I$5</f>
        <v>Canton</v>
      </c>
      <c r="D22" s="442" t="str">
        <f>+K21</f>
        <v>Completion</v>
      </c>
      <c r="E22" s="566" t="s">
        <v>612</v>
      </c>
      <c r="F22" s="442" t="s">
        <v>616</v>
      </c>
      <c r="G22" s="442" t="s">
        <v>623</v>
      </c>
      <c r="I22" s="453"/>
      <c r="J22" s="454">
        <f>+J19+1</f>
        <v>12</v>
      </c>
      <c r="K22" s="455" t="str">
        <f>+"Percent 1st Year Retention "&amp;CHAR(10)&amp;"(First-time, Full-time)"</f>
        <v>Percent 1st Year Retention 
(First-time, Full-time)</v>
      </c>
      <c r="L22" s="461">
        <f>+Retention!F13</f>
        <v>0.53600000000000003</v>
      </c>
      <c r="M22" s="461">
        <f>+Retention!G13</f>
        <v>0.52700000000000002</v>
      </c>
      <c r="N22" s="461">
        <f>+Retention!H13</f>
        <v>0.62</v>
      </c>
      <c r="O22" s="461">
        <f>+Retention!I13</f>
        <v>0.56399999999999995</v>
      </c>
      <c r="P22" s="461">
        <f>+Retention!J13</f>
        <v>0.64</v>
      </c>
      <c r="Q22" s="461">
        <f>+Retention!K13</f>
        <v>0.66400000000000003</v>
      </c>
      <c r="R22" s="461">
        <f>IF(OR(Q22="-",Q22="n/a",Q22=0),(P22-L22),(Q22-L22))</f>
        <v>0.128</v>
      </c>
      <c r="S22" s="457">
        <f>IF(OR(Q22="-",Q22="n/a",Q22=0),(P22-L22)/L22,(Q22-L22)/L22)</f>
        <v>0.23880597014925373</v>
      </c>
      <c r="T22" s="462">
        <v>0.71</v>
      </c>
      <c r="U22" s="463">
        <v>0.73</v>
      </c>
    </row>
    <row r="23" spans="1:21" ht="21.2" customHeight="1">
      <c r="B23" s="442">
        <f t="shared" si="3"/>
        <v>13</v>
      </c>
      <c r="C23" s="442" t="str">
        <f t="shared" si="7"/>
        <v>Canton</v>
      </c>
      <c r="D23" s="442" t="str">
        <f>+D22</f>
        <v>Completion</v>
      </c>
      <c r="E23" s="442" t="s">
        <v>609</v>
      </c>
      <c r="F23" s="442" t="s">
        <v>614</v>
      </c>
      <c r="G23" s="442" t="s">
        <v>622</v>
      </c>
      <c r="I23" s="453"/>
      <c r="J23" s="454">
        <f t="shared" ref="J23:J32" si="8">+J22+1</f>
        <v>13</v>
      </c>
      <c r="K23" s="455" t="s">
        <v>701</v>
      </c>
      <c r="L23" s="682">
        <f>IF('Time Credits to Degree'!G10="n/a","-",+'Time Credits to Degree'!G10)</f>
        <v>2.9622222222222199</v>
      </c>
      <c r="M23" s="682">
        <f>IF('Time Credits to Degree'!H10="n/a","-",+'Time Credits to Degree'!H10)</f>
        <v>3.0370967741935502</v>
      </c>
      <c r="N23" s="682">
        <f>IF('Time Credits to Degree'!I10="n/a","-",+'Time Credits to Degree'!I10)</f>
        <v>3.0493421052631602</v>
      </c>
      <c r="O23" s="682">
        <f>IF('Time Credits to Degree'!J10="n/a","-",+'Time Credits to Degree'!J10)</f>
        <v>3.2010869565217401</v>
      </c>
      <c r="P23" s="682">
        <f>IF('Time Credits to Degree'!K10="n/a","-",+'Time Credits to Degree'!K10)</f>
        <v>3.1202749140893502</v>
      </c>
      <c r="Q23" s="682" t="s">
        <v>327</v>
      </c>
      <c r="R23" s="682">
        <f>IF(ISERROR(IF(ISERROR(IF(OR(Q23="-",Q23="n/a",Q23=0),(P23-L23),(Q23-L23))),"-",IF(OR(Q23="-",Q23="n/a",Q23=0),(P23-L23),(Q23-L23)))),"-",IF(ISERROR(IF(OR(Q23="-",Q23="n/a",Q23=0),(P23-L23),(Q23-L23))),"-",IF(OR(Q23="-",Q23="n/a",Q23=0),(P23-L23),(Q23-L23))))</f>
        <v>0.15805269186713033</v>
      </c>
      <c r="S23" s="518">
        <f>IF(ISERROR(IF(ISERROR(IF(OR(Q23="-",Q23="n/a",Q23=0),(P23-L23)/L23,(Q23-L23)/L23)),"-",IF(OR(Q23="-",Q23="n/a",Q23=0),(P23-L23)/L23,(Q23-L23)/L23))),"-",IF(ISERROR(IF(OR(Q23="-",Q23="n/a",Q23=0),(P23-L23)/L23,(Q23-L23)/L23)),"-",IF(OR(Q23="-",Q23="n/a",Q23=0),(P23-L23)/L23,(Q23-L23)/L23)))</f>
        <v>5.335612253579048E-2</v>
      </c>
      <c r="T23" s="802">
        <v>3.05</v>
      </c>
      <c r="U23" s="801">
        <v>3</v>
      </c>
    </row>
    <row r="24" spans="1:21" ht="21.2" customHeight="1">
      <c r="B24" s="442">
        <f t="shared" si="3"/>
        <v>14</v>
      </c>
      <c r="C24" s="442" t="str">
        <f t="shared" si="7"/>
        <v>Canton</v>
      </c>
      <c r="D24" s="442" t="str">
        <f>+D23</f>
        <v>Completion</v>
      </c>
      <c r="E24" s="442" t="s">
        <v>609</v>
      </c>
      <c r="F24" s="442" t="s">
        <v>614</v>
      </c>
      <c r="G24" s="442" t="s">
        <v>622</v>
      </c>
      <c r="I24" s="453"/>
      <c r="J24" s="454">
        <f t="shared" si="8"/>
        <v>14</v>
      </c>
      <c r="K24" s="455" t="s">
        <v>700</v>
      </c>
      <c r="L24" s="682">
        <f>IF(+'Time Credits to Degree'!G26="n/a","-",+'Time Credits to Degree'!G26)</f>
        <v>4.7452830188679203</v>
      </c>
      <c r="M24" s="682">
        <f>IF(+'Time Credits to Degree'!H26="n/a","-",+'Time Credits to Degree'!H26)</f>
        <v>4.79213483146067</v>
      </c>
      <c r="N24" s="682">
        <f>IF(+'Time Credits to Degree'!I26="n/a","-",+'Time Credits to Degree'!I26)</f>
        <v>5.0285714285714302</v>
      </c>
      <c r="O24" s="682">
        <f>IF(+'Time Credits to Degree'!J26="n/a","-",+'Time Credits to Degree'!J26)</f>
        <v>4.9960317460317496</v>
      </c>
      <c r="P24" s="682">
        <f>IF(+'Time Credits to Degree'!K26="n/a","-",+'Time Credits to Degree'!K26)</f>
        <v>5.26893939393939</v>
      </c>
      <c r="Q24" s="682" t="s">
        <v>327</v>
      </c>
      <c r="R24" s="682">
        <f>IF(ISERROR(IF(ISERROR(IF(OR(Q24="-",Q24="n/a",Q24=0),(P24-L24),(Q24-L24))),"-",IF(OR(Q24="-",Q24="n/a",Q24=0),(P24-L24),(Q24-L24)))),"-",IF(ISERROR(IF(OR(Q24="-",Q24="n/a",Q24=0),(P24-L24),(Q24-L24))),"-",IF(OR(Q24="-",Q24="n/a",Q24=0),(P24-L24),(Q24-L24))))</f>
        <v>0.52365637507146978</v>
      </c>
      <c r="S24" s="518">
        <f>IF(ISERROR(IF(ISERROR(IF(OR(Q24="-",Q24="n/a",Q24=0),(P24-L24)/L24,(Q24-L24)/L24)),"-",IF(OR(Q24="-",Q24="n/a",Q24=0),(P24-L24)/L24,(Q24-L24)/L24))),"-",IF(ISERROR(IF(OR(Q24="-",Q24="n/a",Q24=0),(P24-L24)/L24,(Q24-L24)/L24)),"-",IF(OR(Q24="-",Q24="n/a",Q24=0),(P24-L24)/L24,(Q24-L24)/L24)))</f>
        <v>0.11035303331526013</v>
      </c>
      <c r="T24" s="802">
        <v>5.0999999999999996</v>
      </c>
      <c r="U24" s="801">
        <v>4.9000000000000004</v>
      </c>
    </row>
    <row r="25" spans="1:21" ht="21.2" customHeight="1">
      <c r="B25" s="442">
        <f t="shared" si="3"/>
        <v>15</v>
      </c>
      <c r="C25" s="442" t="str">
        <f t="shared" si="7"/>
        <v>Canton</v>
      </c>
      <c r="D25" s="442" t="str">
        <f>+D22</f>
        <v>Completion</v>
      </c>
      <c r="E25" s="566" t="s">
        <v>612</v>
      </c>
      <c r="F25" s="442" t="s">
        <v>614</v>
      </c>
      <c r="G25" s="442" t="s">
        <v>623</v>
      </c>
      <c r="I25" s="453"/>
      <c r="J25" s="454">
        <f t="shared" si="8"/>
        <v>15</v>
      </c>
      <c r="K25" s="460" t="s">
        <v>456</v>
      </c>
      <c r="L25" s="461">
        <f>IF(+'First-Time Grad Rates'!G16="n/a","-",+'First-Time Grad Rates'!G16)</f>
        <v>0.28652751423149903</v>
      </c>
      <c r="M25" s="461">
        <f>IF(+'First-Time Grad Rates'!H16="n/a","-",+'First-Time Grad Rates'!H16)</f>
        <v>0.24143556280587275</v>
      </c>
      <c r="N25" s="461">
        <f>IF(+'First-Time Grad Rates'!I16="n/a","-",+'First-Time Grad Rates'!I16)</f>
        <v>0.26276276276276278</v>
      </c>
      <c r="O25" s="461">
        <f>IF(+'First-Time Grad Rates'!J16="n/a","-",+'First-Time Grad Rates'!J16)</f>
        <v>0.26060606060606062</v>
      </c>
      <c r="P25" s="461">
        <f>IF(+'First-Time Grad Rates'!K16="n/a","-",+'First-Time Grad Rates'!K16)</f>
        <v>0.29129662522202487</v>
      </c>
      <c r="Q25" s="461" t="str">
        <f>IF(+'First-Time Grad Rates'!L16="n/a","-",+'First-Time Grad Rates'!L16)</f>
        <v>-</v>
      </c>
      <c r="R25" s="461">
        <f>IF(ISERROR(IF(ISERROR(IF(OR(Q25="-",Q25="n/a",Q25=0),(P25-L25),(Q25-L25))),"-",IF(OR(Q25="-",Q25="n/a",Q25=0),(P25-L25),(Q25-L25)))),"-",IF(ISERROR(IF(OR(Q25="-",Q25="n/a",Q25=0),(P25-L25),(Q25-L25))),"-",IF(OR(Q25="-",Q25="n/a",Q25=0),(P25-L25),(Q25-L25))))</f>
        <v>4.7691109905258489E-3</v>
      </c>
      <c r="S25" s="518">
        <f>IF(ISERROR(IF(ISERROR(IF(OR(Q25="-",Q25="n/a",Q25=0),(P25-L25)/L25,(Q25-L25)/L25)),"-",IF(OR(Q25="-",Q25="n/a",Q25=0),(P25-L25)/L25,(Q25-L25)/L25))),"-",IF(ISERROR(IF(OR(Q25="-",Q25="n/a",Q25=0),(P25-L25)/L25,(Q25-L25)/L25)),"-",IF(OR(Q25="-",Q25="n/a",Q25=0),(P25-L25)/L25,(Q25-L25)/L25)))</f>
        <v>1.6644513192100148E-2</v>
      </c>
      <c r="T25" s="462">
        <v>0.3</v>
      </c>
      <c r="U25" s="463">
        <v>0.35</v>
      </c>
    </row>
    <row r="26" spans="1:21" ht="21.2" customHeight="1">
      <c r="B26" s="442">
        <f t="shared" si="3"/>
        <v>16</v>
      </c>
      <c r="C26" s="442" t="str">
        <f t="shared" si="7"/>
        <v>Canton</v>
      </c>
      <c r="D26" s="442" t="str">
        <f>+D25</f>
        <v>Completion</v>
      </c>
      <c r="E26" s="566" t="s">
        <v>612</v>
      </c>
      <c r="F26" s="442" t="s">
        <v>614</v>
      </c>
      <c r="G26" s="442" t="s">
        <v>623</v>
      </c>
      <c r="I26" s="453"/>
      <c r="J26" s="454">
        <f t="shared" si="8"/>
        <v>16</v>
      </c>
      <c r="K26" s="460" t="s">
        <v>457</v>
      </c>
      <c r="L26" s="461">
        <f>IF(+'First-Time Grad Rates'!G33="n/a","-",+'First-Time Grad Rates'!G33)</f>
        <v>0.39473684210526316</v>
      </c>
      <c r="M26" s="461">
        <f>IF(+'First-Time Grad Rates'!H33="n/a","-",+'First-Time Grad Rates'!H33)</f>
        <v>0.29729729729729731</v>
      </c>
      <c r="N26" s="461">
        <f>IF(+'First-Time Grad Rates'!I33="n/a","-",+'First-Time Grad Rates'!I33)</f>
        <v>0.32142857142857145</v>
      </c>
      <c r="O26" s="461">
        <f>IF(+'First-Time Grad Rates'!J33="n/a","-",+'First-Time Grad Rates'!J33)</f>
        <v>0.2857142857142857</v>
      </c>
      <c r="P26" s="461">
        <f>IF(+'First-Time Grad Rates'!K33="n/a","-",+'First-Time Grad Rates'!K33)</f>
        <v>0.30666666666666664</v>
      </c>
      <c r="Q26" s="461" t="str">
        <f>IF(+'First-Time Grad Rates'!L33="n/a","-",+'First-Time Grad Rates'!L33)</f>
        <v>-</v>
      </c>
      <c r="R26" s="461">
        <f>IF(ISERROR(IF(OR(Q26="-",Q26="n/a",Q26=0),(P26-L26),(Q26-L26))),"-",IF(OR(Q26="-",Q26="n/a",Q26=0),(P26-L26),(Q26-L26)))</f>
        <v>-8.8070175438596521E-2</v>
      </c>
      <c r="S26" s="518">
        <f>IF(ISERROR(IF(OR(Q26="-",Q26="n/a",Q26=0),(P26-L26)/L26,(Q26-L26)/L26)),"-",IF(OR(Q26="-",Q26="n/a",Q26=0),(P26-L26)/L26,(Q26-L26)/L26))</f>
        <v>-0.22311111111111118</v>
      </c>
      <c r="T26" s="462">
        <v>0.4</v>
      </c>
      <c r="U26" s="463">
        <v>0.42</v>
      </c>
    </row>
    <row r="27" spans="1:21" ht="21.2" customHeight="1">
      <c r="B27" s="442">
        <f t="shared" si="3"/>
        <v>17</v>
      </c>
      <c r="C27" s="442" t="str">
        <f t="shared" si="7"/>
        <v>Canton</v>
      </c>
      <c r="D27" s="442" t="str">
        <f>+D26</f>
        <v>Completion</v>
      </c>
      <c r="E27" s="442" t="s">
        <v>609</v>
      </c>
      <c r="F27" s="442" t="s">
        <v>614</v>
      </c>
      <c r="G27" s="442" t="s">
        <v>624</v>
      </c>
      <c r="I27" s="472"/>
      <c r="J27" s="454">
        <f t="shared" si="8"/>
        <v>17</v>
      </c>
      <c r="K27" s="460" t="s">
        <v>216</v>
      </c>
      <c r="L27" s="456">
        <f>+'Degrees Awards Granted'!G9</f>
        <v>633</v>
      </c>
      <c r="M27" s="456">
        <f>+'Degrees Awards Granted'!H9</f>
        <v>923</v>
      </c>
      <c r="N27" s="456">
        <f>+'Degrees Awards Granted'!I9</f>
        <v>855</v>
      </c>
      <c r="O27" s="456">
        <f>+'Degrees Awards Granted'!J9</f>
        <v>964</v>
      </c>
      <c r="P27" s="456">
        <f>+'Degrees Awards Granted'!K9</f>
        <v>964</v>
      </c>
      <c r="Q27" s="456" t="s">
        <v>327</v>
      </c>
      <c r="R27" s="456">
        <f>IF(OR(Q27="-",Q27="n/a",Q27=0),(P27-L27),(Q27-L27))</f>
        <v>331</v>
      </c>
      <c r="S27" s="457">
        <f>IF(OR(Q27="-",Q27="n/a",Q27=0),(P27-L27)/L27,(Q27-L27)/L27)</f>
        <v>0.52290679304897314</v>
      </c>
      <c r="T27" s="458">
        <v>1145</v>
      </c>
      <c r="U27" s="459">
        <v>1372</v>
      </c>
    </row>
    <row r="28" spans="1:21" s="452" customFormat="1" ht="21.2" customHeight="1">
      <c r="A28" s="442"/>
      <c r="B28" s="442">
        <f t="shared" si="3"/>
        <v>18</v>
      </c>
      <c r="C28" s="442" t="str">
        <f t="shared" si="7"/>
        <v>Canton</v>
      </c>
      <c r="D28" s="442" t="str">
        <f>+D27</f>
        <v>Completion</v>
      </c>
      <c r="E28" s="442" t="s">
        <v>609</v>
      </c>
      <c r="F28" s="442" t="s">
        <v>614</v>
      </c>
      <c r="G28" s="442" t="s">
        <v>624</v>
      </c>
      <c r="I28" s="453"/>
      <c r="J28" s="454">
        <f t="shared" si="8"/>
        <v>18</v>
      </c>
      <c r="K28" s="613" t="s">
        <v>635</v>
      </c>
      <c r="L28" s="653">
        <f>IF(+'Degrees Awards Granted'!G10="n/a","-",+'Degrees Awards Granted'!G10)</f>
        <v>115</v>
      </c>
      <c r="M28" s="653">
        <f>IF(+'Degrees Awards Granted'!H10="n/a","-",+'Degrees Awards Granted'!H10)</f>
        <v>184</v>
      </c>
      <c r="N28" s="653">
        <f>IF(+'Degrees Awards Granted'!I10="n/a","-",+'Degrees Awards Granted'!I10)</f>
        <v>198</v>
      </c>
      <c r="O28" s="653">
        <f>IF(+'Degrees Awards Granted'!J10="n/a","-",+'Degrees Awards Granted'!J10)</f>
        <v>175</v>
      </c>
      <c r="P28" s="653">
        <f>IF(+'Degrees Awards Granted'!K10="n/a","-",+'Degrees Awards Granted'!K10)</f>
        <v>152</v>
      </c>
      <c r="Q28" s="456" t="s">
        <v>327</v>
      </c>
      <c r="R28" s="653">
        <f>IF(ISERROR(IF(OR(Q28="-",Q28="n/a",Q28=0),(P28-L28),(Q28-L28))),"-",IF(OR(Q28="-",Q28="n/a",Q28=0),(P28-L28),(Q28-L28)))</f>
        <v>37</v>
      </c>
      <c r="S28" s="518">
        <f>IF(ISERROR(IF(OR(Q28="-",Q28="n/a",Q28=0),(P28-L28)/L28,(Q28-L28)/L28)),"-",IF(OR(Q28="-",Q28="n/a",Q28=0),(P28-L28)/L28,(Q28-L28)/L28))</f>
        <v>0.32173913043478258</v>
      </c>
      <c r="T28" s="458">
        <v>95</v>
      </c>
      <c r="U28" s="459">
        <v>112</v>
      </c>
    </row>
    <row r="29" spans="1:21" ht="21.2" customHeight="1">
      <c r="B29" s="442">
        <f t="shared" si="3"/>
        <v>19</v>
      </c>
      <c r="C29" s="442" t="str">
        <f t="shared" si="7"/>
        <v>Canton</v>
      </c>
      <c r="D29" s="442" t="str">
        <f>+D28</f>
        <v>Completion</v>
      </c>
      <c r="E29" s="442" t="s">
        <v>609</v>
      </c>
      <c r="F29" s="442" t="s">
        <v>614</v>
      </c>
      <c r="G29" s="442" t="s">
        <v>624</v>
      </c>
      <c r="I29" s="473"/>
      <c r="J29" s="454">
        <f t="shared" si="8"/>
        <v>19</v>
      </c>
      <c r="K29" s="613" t="s">
        <v>270</v>
      </c>
      <c r="L29" s="654">
        <f>IF(+'Degrees Awards Granted'!G11="n/a","-",+'Degrees Awards Granted'!G11)</f>
        <v>391</v>
      </c>
      <c r="M29" s="654">
        <f>IF(+'Degrees Awards Granted'!H11="n/a","-",+'Degrees Awards Granted'!H11)</f>
        <v>510</v>
      </c>
      <c r="N29" s="654">
        <f>IF(+'Degrees Awards Granted'!I11="n/a","-",+'Degrees Awards Granted'!I11)</f>
        <v>479</v>
      </c>
      <c r="O29" s="654">
        <f>IF(+'Degrees Awards Granted'!J11="n/a","-",+'Degrees Awards Granted'!J11)</f>
        <v>430</v>
      </c>
      <c r="P29" s="654">
        <f>IF(+'Degrees Awards Granted'!K11="n/a","-",+'Degrees Awards Granted'!K11)</f>
        <v>452</v>
      </c>
      <c r="Q29" s="456" t="s">
        <v>327</v>
      </c>
      <c r="R29" s="653">
        <f>IF(ISERROR(IF(OR(Q29="-",Q29="n/a",Q29=0),(P29-L29),(Q29-L29))),"-",IF(OR(Q29="-",Q29="n/a",Q29=0),(P29-L29),(Q29-L29)))</f>
        <v>61</v>
      </c>
      <c r="S29" s="518">
        <f>IF(ISERROR(IF(OR(Q29="-",Q29="n/a",Q29=0),(P29-L29)/L29,(Q29-L29)/L29)),"-",IF(OR(Q29="-",Q29="n/a",Q29=0),(P29-L29)/L29,(Q29-L29)/L29))</f>
        <v>0.15601023017902813</v>
      </c>
      <c r="T29" s="458">
        <v>620</v>
      </c>
      <c r="U29" s="459">
        <v>810</v>
      </c>
    </row>
    <row r="30" spans="1:21" s="452" customFormat="1" ht="21.2" customHeight="1">
      <c r="A30" s="442"/>
      <c r="B30" s="442">
        <f t="shared" si="3"/>
        <v>20</v>
      </c>
      <c r="C30" s="442" t="str">
        <f t="shared" si="7"/>
        <v>Canton</v>
      </c>
      <c r="D30" s="442" t="str">
        <f>+D29</f>
        <v>Completion</v>
      </c>
      <c r="E30" s="442" t="s">
        <v>609</v>
      </c>
      <c r="F30" s="442" t="s">
        <v>614</v>
      </c>
      <c r="G30" s="442" t="s">
        <v>624</v>
      </c>
      <c r="I30" s="453"/>
      <c r="J30" s="454">
        <f t="shared" si="8"/>
        <v>20</v>
      </c>
      <c r="K30" s="613" t="s">
        <v>415</v>
      </c>
      <c r="L30" s="654">
        <f>IF(+'Degrees Awards Granted'!G12="n/a","-",+'Degrees Awards Granted'!G12)</f>
        <v>127</v>
      </c>
      <c r="M30" s="654">
        <f>IF(+'Degrees Awards Granted'!H12="n/a","-",+'Degrees Awards Granted'!H12)</f>
        <v>229</v>
      </c>
      <c r="N30" s="654">
        <f>IF(+'Degrees Awards Granted'!I12="n/a","-",+'Degrees Awards Granted'!I12)</f>
        <v>178</v>
      </c>
      <c r="O30" s="654">
        <f>IF(+'Degrees Awards Granted'!J12="n/a","-",+'Degrees Awards Granted'!J12)</f>
        <v>359</v>
      </c>
      <c r="P30" s="654">
        <f>IF(+'Degrees Awards Granted'!K12="n/a","-",+'Degrees Awards Granted'!K12)</f>
        <v>360</v>
      </c>
      <c r="Q30" s="456" t="s">
        <v>327</v>
      </c>
      <c r="R30" s="653">
        <f>IF(ISERROR(IF(OR(Q30="-",Q30="n/a",Q30=0),(P30-L30),(Q30-L30))),"-",IF(OR(Q30="-",Q30="n/a",Q30=0),(P30-L30),(Q30-L30)))</f>
        <v>233</v>
      </c>
      <c r="S30" s="518">
        <f>IF(ISERROR(IF(OR(Q30="-",Q30="n/a",Q30=0),(P30-L30)/L30,(Q30-L30)/L30)),"-",IF(OR(Q30="-",Q30="n/a",Q30=0),(P30-L30)/L30,(Q30-L30)/L30))</f>
        <v>1.8346456692913387</v>
      </c>
      <c r="T30" s="474">
        <v>430</v>
      </c>
      <c r="U30" s="475">
        <v>450</v>
      </c>
    </row>
    <row r="31" spans="1:21" s="452" customFormat="1" ht="22.15" customHeight="1">
      <c r="A31" s="442"/>
      <c r="B31" s="442">
        <f t="shared" si="3"/>
        <v>21</v>
      </c>
      <c r="C31" s="442" t="str">
        <f t="shared" si="7"/>
        <v>Canton</v>
      </c>
      <c r="D31" s="442" t="str">
        <f>+D29</f>
        <v>Completion</v>
      </c>
      <c r="E31" s="442" t="s">
        <v>609</v>
      </c>
      <c r="F31" s="442" t="s">
        <v>614</v>
      </c>
      <c r="G31" s="442" t="s">
        <v>624</v>
      </c>
      <c r="I31" s="453"/>
      <c r="J31" s="454">
        <f t="shared" si="8"/>
        <v>21</v>
      </c>
      <c r="K31" s="613" t="s">
        <v>283</v>
      </c>
      <c r="L31" s="653">
        <f>SUM('Degrees Awards Granted'!G13:G15)</f>
        <v>0</v>
      </c>
      <c r="M31" s="653">
        <f>SUM('Degrees Awards Granted'!H13:H15)</f>
        <v>0</v>
      </c>
      <c r="N31" s="653">
        <f>SUM('Degrees Awards Granted'!I13:I15)</f>
        <v>0</v>
      </c>
      <c r="O31" s="653">
        <f>SUM('Degrees Awards Granted'!J13:J15)</f>
        <v>0</v>
      </c>
      <c r="P31" s="653">
        <f>SUM('Degrees Awards Granted'!K13:K15)</f>
        <v>0</v>
      </c>
      <c r="Q31" s="456" t="s">
        <v>327</v>
      </c>
      <c r="R31" s="653">
        <f>IF(ISERROR(IF(OR(Q31="-",Q31="n/a",Q31=0),(P31-L31),(Q31-L31))),"-",IF(OR(Q31="-",Q31="n/a",Q31=0),(P31-L31),(Q31-L31)))</f>
        <v>0</v>
      </c>
      <c r="S31" s="518" t="str">
        <f>IF(ISERROR(IF(ISERROR(IF(OR(Q31="-",Q31="n/a",Q31=0),(P31-L31)/L31,(Q31-L31)/L31)),"-",IF(OR(Q31="-",Q31="n/a",Q31=0),(P31-L31)/L31,(Q31-L31)/L31))),"-",IF(ISERROR(IF(OR(Q31="-",Q31="n/a",Q31=0),(P31-L31)/L31,(Q31-L31)/L31)),"-",IF(OR(Q31="-",Q31="n/a",Q31=0),(P31-L31)/L31,(Q31-L31)/L31)))</f>
        <v>-</v>
      </c>
      <c r="T31" s="477" t="s">
        <v>327</v>
      </c>
      <c r="U31" s="800">
        <v>23</v>
      </c>
    </row>
    <row r="32" spans="1:21" s="452" customFormat="1" ht="22.15" customHeight="1">
      <c r="A32" s="442"/>
      <c r="B32" s="442">
        <f t="shared" si="3"/>
        <v>22</v>
      </c>
      <c r="C32" s="442" t="str">
        <f t="shared" si="7"/>
        <v>Canton</v>
      </c>
      <c r="D32" s="442" t="str">
        <f>+D30</f>
        <v>Completion</v>
      </c>
      <c r="E32" s="442" t="s">
        <v>609</v>
      </c>
      <c r="F32" s="442" t="s">
        <v>614</v>
      </c>
      <c r="G32" s="442" t="s">
        <v>624</v>
      </c>
      <c r="I32" s="453"/>
      <c r="J32" s="454">
        <f t="shared" si="8"/>
        <v>22</v>
      </c>
      <c r="K32" s="613" t="s">
        <v>636</v>
      </c>
      <c r="L32" s="653">
        <f>SUM('Degrees Awards Granted'!G16)</f>
        <v>0</v>
      </c>
      <c r="M32" s="653">
        <f>SUM('Degrees Awards Granted'!H16)</f>
        <v>0</v>
      </c>
      <c r="N32" s="653">
        <f>SUM('Degrees Awards Granted'!I16)</f>
        <v>0</v>
      </c>
      <c r="O32" s="653">
        <f>SUM('Degrees Awards Granted'!J16)</f>
        <v>0</v>
      </c>
      <c r="P32" s="653">
        <f>SUM('Degrees Awards Granted'!K16)</f>
        <v>0</v>
      </c>
      <c r="Q32" s="456" t="s">
        <v>327</v>
      </c>
      <c r="R32" s="653">
        <f>IF(ISERROR(IF(OR(Q32="-",Q32="n/a",Q32=0),(P32-L32),(Q32-L32))),"-",IF(OR(Q32="-",Q32="n/a",Q32=0),(P32-L32),(Q32-L32)))</f>
        <v>0</v>
      </c>
      <c r="S32" s="518" t="str">
        <f>IF(ISERROR(IF(ISERROR(IF(OR(Q32="-",Q32="n/a",Q32=0),(P32-L32)/L32,(Q32-L32)/L32)),"-",IF(OR(Q32="-",Q32="n/a",Q32=0),(P32-L32)/L32,(Q32-L32)/L32))),"-",IF(ISERROR(IF(OR(Q32="-",Q32="n/a",Q32=0),(P32-L32)/L32,(Q32-L32)/L32)),"-",IF(OR(Q32="-",Q32="n/a",Q32=0),(P32-L32)/L32,(Q32-L32)/L32)))</f>
        <v>-</v>
      </c>
      <c r="T32" s="477" t="s">
        <v>327</v>
      </c>
      <c r="U32" s="478" t="s">
        <v>327</v>
      </c>
    </row>
    <row r="33" spans="1:22" s="452" customFormat="1" ht="11.1" customHeight="1">
      <c r="A33" s="442"/>
      <c r="B33" s="442">
        <f t="shared" si="3"/>
        <v>0</v>
      </c>
      <c r="C33" s="442"/>
      <c r="D33" s="442"/>
      <c r="E33" s="442"/>
      <c r="F33" s="442"/>
      <c r="G33" s="442"/>
      <c r="I33" s="453"/>
      <c r="J33" s="454"/>
      <c r="K33" s="460"/>
      <c r="L33" s="476"/>
      <c r="M33" s="476"/>
      <c r="N33" s="476"/>
      <c r="O33" s="476"/>
      <c r="P33" s="476"/>
      <c r="Q33" s="476"/>
      <c r="R33" s="476"/>
      <c r="S33" s="479"/>
      <c r="T33" s="476"/>
      <c r="U33" s="476"/>
    </row>
    <row r="34" spans="1:22" s="452" customFormat="1" ht="25.15" customHeight="1" thickBot="1">
      <c r="A34" s="442"/>
      <c r="B34" s="442">
        <f t="shared" si="3"/>
        <v>0</v>
      </c>
      <c r="C34" s="442"/>
      <c r="D34" s="442"/>
      <c r="E34" s="442"/>
      <c r="F34" s="442"/>
      <c r="G34" s="442"/>
      <c r="I34" s="448"/>
      <c r="J34" s="448"/>
      <c r="K34" s="449" t="s">
        <v>239</v>
      </c>
      <c r="L34" s="449"/>
      <c r="M34" s="449"/>
      <c r="N34" s="449"/>
      <c r="O34" s="449"/>
      <c r="P34" s="449"/>
      <c r="Q34" s="449"/>
      <c r="R34" s="449"/>
      <c r="S34" s="466"/>
      <c r="T34" s="449"/>
      <c r="U34" s="449"/>
    </row>
    <row r="35" spans="1:22" s="452" customFormat="1" ht="21.2" customHeight="1">
      <c r="A35" s="442"/>
      <c r="B35" s="442">
        <f t="shared" si="3"/>
        <v>23</v>
      </c>
      <c r="C35" s="442" t="str">
        <f t="shared" ref="C35:C43" si="9">+$I$5</f>
        <v>Canton</v>
      </c>
      <c r="D35" s="442" t="str">
        <f>+K34</f>
        <v>Success</v>
      </c>
      <c r="E35" s="442" t="s">
        <v>609</v>
      </c>
      <c r="F35" s="442" t="s">
        <v>616</v>
      </c>
      <c r="G35" s="442" t="s">
        <v>622</v>
      </c>
      <c r="I35" s="453"/>
      <c r="J35" s="454">
        <f>+J32+1</f>
        <v>23</v>
      </c>
      <c r="K35" s="460" t="s">
        <v>219</v>
      </c>
      <c r="L35" s="456">
        <f>+'Faculty Trends'!F10</f>
        <v>195</v>
      </c>
      <c r="M35" s="456">
        <f>+'Faculty Trends'!G10</f>
        <v>207</v>
      </c>
      <c r="N35" s="456">
        <f>+'Faculty Trends'!H10</f>
        <v>206</v>
      </c>
      <c r="O35" s="456">
        <f>+'Faculty Trends'!I10</f>
        <v>216</v>
      </c>
      <c r="P35" s="456">
        <f>+'Faculty Trends'!J10</f>
        <v>228</v>
      </c>
      <c r="Q35" s="456" t="str">
        <f>IF(+'Faculty Trends'!K10="n/a","-",+'Faculty Trends'!K10)</f>
        <v>-</v>
      </c>
      <c r="R35" s="456">
        <f t="shared" ref="R35:R40" si="10">IF(OR(Q35="-",Q35="n/a",Q35=0),(P35-L35),(Q35-L35))</f>
        <v>33</v>
      </c>
      <c r="S35" s="457">
        <f>IF(OR(Q35="-",Q35="n/a",Q35=0),(P35-L35)/L35,(Q35-L35)/L35)</f>
        <v>0.16923076923076924</v>
      </c>
      <c r="T35" s="458">
        <v>228</v>
      </c>
      <c r="U35" s="459">
        <v>235</v>
      </c>
    </row>
    <row r="36" spans="1:22" s="452" customFormat="1" ht="21.2" customHeight="1">
      <c r="A36" s="442"/>
      <c r="B36" s="442">
        <f t="shared" si="3"/>
        <v>24</v>
      </c>
      <c r="C36" s="442" t="str">
        <f t="shared" si="9"/>
        <v>Canton</v>
      </c>
      <c r="D36" s="442" t="str">
        <f t="shared" ref="D36:D41" si="11">+D35</f>
        <v>Success</v>
      </c>
      <c r="E36" s="566" t="s">
        <v>612</v>
      </c>
      <c r="F36" s="442" t="s">
        <v>616</v>
      </c>
      <c r="G36" s="442" t="s">
        <v>624</v>
      </c>
      <c r="I36" s="453"/>
      <c r="J36" s="454">
        <f t="shared" ref="J36:J43" si="12">+J35+1</f>
        <v>24</v>
      </c>
      <c r="K36" s="460" t="s">
        <v>228</v>
      </c>
      <c r="L36" s="729">
        <f>+'Faculty Trends'!F49</f>
        <v>7.0796460176991149E-2</v>
      </c>
      <c r="M36" s="729" t="s">
        <v>327</v>
      </c>
      <c r="N36" s="729">
        <f>+'Faculty Trends'!H49</f>
        <v>6.8965517241379309E-2</v>
      </c>
      <c r="O36" s="729" t="s">
        <v>327</v>
      </c>
      <c r="P36" s="729">
        <f>+'Faculty Trends'!J49</f>
        <v>0.12213740458015267</v>
      </c>
      <c r="Q36" s="729" t="str">
        <f>+'Faculty Trends'!K49</f>
        <v>-</v>
      </c>
      <c r="R36" s="729">
        <f t="shared" si="10"/>
        <v>5.1340944403161518E-2</v>
      </c>
      <c r="S36" s="518">
        <f>IF(ISERROR(IF(OR(Q36="-",Q36="n/a",Q36=0),(P36-L36)/L36,(Q36-L36)/L36)),"-",IF(OR(Q36="-",Q36="n/a",Q36=0),(P36-L36)/L36,(Q36-L36)/L36))</f>
        <v>0.72519083969465647</v>
      </c>
      <c r="T36" s="812"/>
      <c r="U36" s="812"/>
    </row>
    <row r="37" spans="1:22" s="452" customFormat="1" ht="21.2" customHeight="1">
      <c r="A37" s="442"/>
      <c r="B37" s="442">
        <f t="shared" si="3"/>
        <v>25</v>
      </c>
      <c r="C37" s="442" t="str">
        <f t="shared" si="9"/>
        <v>Canton</v>
      </c>
      <c r="D37" s="442" t="str">
        <f t="shared" si="11"/>
        <v>Success</v>
      </c>
      <c r="E37" s="566" t="s">
        <v>612</v>
      </c>
      <c r="F37" s="442" t="s">
        <v>616</v>
      </c>
      <c r="G37" s="442" t="s">
        <v>623</v>
      </c>
      <c r="I37" s="453"/>
      <c r="J37" s="454">
        <f t="shared" si="12"/>
        <v>25</v>
      </c>
      <c r="K37" s="460" t="s">
        <v>218</v>
      </c>
      <c r="L37" s="461">
        <f>+'Faculty Trends'!F14</f>
        <v>0.57948717948717954</v>
      </c>
      <c r="M37" s="461">
        <f>+'Faculty Trends'!G14</f>
        <v>0.57971014492753625</v>
      </c>
      <c r="N37" s="461">
        <f>+'Faculty Trends'!H14</f>
        <v>0.56310679611650483</v>
      </c>
      <c r="O37" s="461">
        <f>+'Faculty Trends'!I14</f>
        <v>0.57870370370370372</v>
      </c>
      <c r="P37" s="461">
        <f>+'Faculty Trends'!J14</f>
        <v>0.57456140350877194</v>
      </c>
      <c r="Q37" s="461" t="str">
        <f>+'Faculty Trends'!K14</f>
        <v>-</v>
      </c>
      <c r="R37" s="461">
        <f t="shared" si="10"/>
        <v>-4.9257759784075983E-3</v>
      </c>
      <c r="S37" s="457">
        <f>IF(OR(Q37="-",Q37="n/a",Q37=0),(P37-L37)/L37,(Q37-L37)/L37)</f>
        <v>-8.5002328830927568E-3</v>
      </c>
      <c r="T37" s="462">
        <v>0.56999999999999995</v>
      </c>
      <c r="U37" s="463">
        <v>0.57399999999999995</v>
      </c>
    </row>
    <row r="38" spans="1:22" s="452" customFormat="1" ht="21.2" customHeight="1">
      <c r="A38" s="442"/>
      <c r="B38" s="442">
        <f t="shared" si="3"/>
        <v>26</v>
      </c>
      <c r="C38" s="442" t="str">
        <f t="shared" si="9"/>
        <v>Canton</v>
      </c>
      <c r="D38" s="442" t="str">
        <f t="shared" si="11"/>
        <v>Success</v>
      </c>
      <c r="E38" s="442" t="s">
        <v>609</v>
      </c>
      <c r="F38" s="442" t="s">
        <v>616</v>
      </c>
      <c r="G38" s="442" t="s">
        <v>623</v>
      </c>
      <c r="I38" s="453"/>
      <c r="J38" s="454">
        <f t="shared" si="12"/>
        <v>26</v>
      </c>
      <c r="K38" s="460" t="s">
        <v>217</v>
      </c>
      <c r="L38" s="467">
        <f>+'Faculty Trends'!F27</f>
        <v>19.824228028503562</v>
      </c>
      <c r="M38" s="467">
        <f>+'Faculty Trends'!G27</f>
        <v>19.95749440715884</v>
      </c>
      <c r="N38" s="467">
        <f>+'Faculty Trends'!H27</f>
        <v>21.658447488584478</v>
      </c>
      <c r="O38" s="467">
        <f>+'Faculty Trends'!I27</f>
        <v>21.108154506437764</v>
      </c>
      <c r="P38" s="467">
        <f>+'Faculty Trends'!J27</f>
        <v>19.01877551020408</v>
      </c>
      <c r="Q38" s="467" t="str">
        <f>+'Faculty Trends'!K27</f>
        <v>-</v>
      </c>
      <c r="R38" s="467">
        <f t="shared" si="10"/>
        <v>-0.80545251829948228</v>
      </c>
      <c r="S38" s="457">
        <f>IF(OR(Q38="-",Q38="n/a",Q38=0),(P38-L38)/L38,(Q38-L38)/L38)</f>
        <v>-4.0629704074296918E-2</v>
      </c>
      <c r="T38" s="468">
        <v>19.2</v>
      </c>
      <c r="U38" s="469">
        <v>19.399999999999999</v>
      </c>
    </row>
    <row r="39" spans="1:22" s="452" customFormat="1" ht="21.2" customHeight="1">
      <c r="A39" s="442"/>
      <c r="B39" s="442">
        <f t="shared" si="3"/>
        <v>27</v>
      </c>
      <c r="C39" s="442" t="str">
        <f t="shared" si="9"/>
        <v>Canton</v>
      </c>
      <c r="D39" s="442" t="str">
        <f t="shared" si="11"/>
        <v>Success</v>
      </c>
      <c r="E39" s="442" t="s">
        <v>609</v>
      </c>
      <c r="F39" s="442" t="s">
        <v>616</v>
      </c>
      <c r="G39" s="442" t="s">
        <v>622</v>
      </c>
      <c r="I39" s="453"/>
      <c r="J39" s="454">
        <f t="shared" si="12"/>
        <v>27</v>
      </c>
      <c r="K39" s="460" t="s">
        <v>220</v>
      </c>
      <c r="L39" s="456">
        <f>+'Staff Trends'!F10</f>
        <v>295</v>
      </c>
      <c r="M39" s="456">
        <f>+'Staff Trends'!G10</f>
        <v>291</v>
      </c>
      <c r="N39" s="456">
        <f>+'Staff Trends'!H10</f>
        <v>307</v>
      </c>
      <c r="O39" s="456">
        <f>+'Staff Trends'!I10</f>
        <v>319</v>
      </c>
      <c r="P39" s="456">
        <f>+'Staff Trends'!J10</f>
        <v>320</v>
      </c>
      <c r="Q39" s="456" t="str">
        <f>IF(+'Staff Trends'!K10="n/a","-",+'Staff Trends'!K10)</f>
        <v>-</v>
      </c>
      <c r="R39" s="456">
        <f t="shared" si="10"/>
        <v>25</v>
      </c>
      <c r="S39" s="457">
        <f>IF(OR(Q39="-",Q39="n/a",Q39=0),(P39-L39)/L39,(Q39-L39)/L39)</f>
        <v>8.4745762711864403E-2</v>
      </c>
      <c r="T39" s="799">
        <v>320</v>
      </c>
      <c r="U39" s="798">
        <v>325</v>
      </c>
    </row>
    <row r="40" spans="1:22" s="452" customFormat="1" ht="21.2" customHeight="1">
      <c r="A40" s="442"/>
      <c r="B40" s="442">
        <f t="shared" ref="B40:B64" si="13">+J40</f>
        <v>28</v>
      </c>
      <c r="C40" s="442" t="str">
        <f t="shared" si="9"/>
        <v>Canton</v>
      </c>
      <c r="D40" s="442" t="str">
        <f t="shared" si="11"/>
        <v>Success</v>
      </c>
      <c r="E40" s="566" t="s">
        <v>612</v>
      </c>
      <c r="F40" s="442" t="s">
        <v>616</v>
      </c>
      <c r="G40" s="442" t="s">
        <v>623</v>
      </c>
      <c r="I40" s="453"/>
      <c r="J40" s="454">
        <f t="shared" si="12"/>
        <v>28</v>
      </c>
      <c r="K40" s="460" t="s">
        <v>227</v>
      </c>
      <c r="L40" s="729">
        <f>+'Staff Trends'!F36</f>
        <v>3.255813953488372E-2</v>
      </c>
      <c r="M40" s="729" t="s">
        <v>327</v>
      </c>
      <c r="N40" s="729">
        <f>+'Staff Trends'!H36</f>
        <v>3.1390134529147982E-2</v>
      </c>
      <c r="O40" s="729" t="s">
        <v>327</v>
      </c>
      <c r="P40" s="729">
        <f>+'Staff Trends'!J36</f>
        <v>3.4482758620689655E-2</v>
      </c>
      <c r="Q40" s="729" t="s">
        <v>327</v>
      </c>
      <c r="R40" s="729">
        <f t="shared" si="10"/>
        <v>1.9246190858059342E-3</v>
      </c>
      <c r="S40" s="518">
        <f>IF(ISERROR(IF(OR(Q40="-",Q40="n/a",Q40=0),(P40-L40)/L40,(Q40-L40)/L40)),"-",IF(OR(Q40="-",Q40="n/a",Q40=0),(P40-L40)/L40,(Q40-L40)/L40))</f>
        <v>5.9113300492610835E-2</v>
      </c>
      <c r="T40" s="812"/>
      <c r="U40" s="812"/>
    </row>
    <row r="41" spans="1:22" s="452" customFormat="1" ht="21.2" customHeight="1">
      <c r="A41" s="442"/>
      <c r="B41" s="442">
        <f t="shared" si="13"/>
        <v>29</v>
      </c>
      <c r="C41" s="442" t="str">
        <f t="shared" si="9"/>
        <v>Canton</v>
      </c>
      <c r="D41" s="442" t="str">
        <f t="shared" si="11"/>
        <v>Success</v>
      </c>
      <c r="E41" s="566" t="s">
        <v>612</v>
      </c>
      <c r="F41" s="442" t="s">
        <v>615</v>
      </c>
      <c r="G41" s="442" t="s">
        <v>624</v>
      </c>
      <c r="I41" s="453"/>
      <c r="J41" s="454">
        <f t="shared" si="12"/>
        <v>29</v>
      </c>
      <c r="K41" s="454" t="s">
        <v>659</v>
      </c>
      <c r="L41" s="730">
        <f>+'Financial Aid Literacy'!F12</f>
        <v>0.14699999999999999</v>
      </c>
      <c r="M41" s="730">
        <f>+'Financial Aid Literacy'!G12</f>
        <v>0.182</v>
      </c>
      <c r="N41" s="730">
        <f>+'Financial Aid Literacy'!H12</f>
        <v>0.17399999999999999</v>
      </c>
      <c r="O41" s="614" t="s">
        <v>327</v>
      </c>
      <c r="P41" s="614" t="s">
        <v>327</v>
      </c>
      <c r="Q41" s="729" t="s">
        <v>327</v>
      </c>
      <c r="R41" s="729">
        <f>IF(OR(N41="-",N41="n/a",N41=0),(P41-L41),(N41-L41))</f>
        <v>2.6999999999999996E-2</v>
      </c>
      <c r="S41" s="457">
        <f>IF(OR(N41="-",N41="n/a",N41=0),(P41-L41)/L41,(N41-L41)/L41)</f>
        <v>0.18367346938775508</v>
      </c>
      <c r="T41" s="795">
        <v>0.15</v>
      </c>
      <c r="U41" s="794">
        <v>0.13</v>
      </c>
    </row>
    <row r="42" spans="1:22" s="452" customFormat="1" ht="21.2" customHeight="1">
      <c r="A42" s="442"/>
      <c r="B42" s="442">
        <f t="shared" si="13"/>
        <v>30</v>
      </c>
      <c r="C42" s="442" t="str">
        <f t="shared" si="9"/>
        <v>Canton</v>
      </c>
      <c r="D42" s="442" t="str">
        <f>+D40</f>
        <v>Success</v>
      </c>
      <c r="E42" s="566" t="s">
        <v>612</v>
      </c>
      <c r="F42" s="442" t="s">
        <v>615</v>
      </c>
      <c r="G42" s="442" t="s">
        <v>624</v>
      </c>
      <c r="I42" s="453"/>
      <c r="J42" s="454">
        <f t="shared" si="12"/>
        <v>30</v>
      </c>
      <c r="K42" s="646" t="s">
        <v>657</v>
      </c>
      <c r="L42" s="730">
        <v>7.3925104022191407E-2</v>
      </c>
      <c r="M42" s="730">
        <v>7.9360484535393794E-2</v>
      </c>
      <c r="N42" s="730">
        <v>6.987587165906628E-2</v>
      </c>
      <c r="O42" s="614" t="s">
        <v>327</v>
      </c>
      <c r="P42" s="614" t="s">
        <v>327</v>
      </c>
      <c r="Q42" s="729" t="s">
        <v>327</v>
      </c>
      <c r="R42" s="729">
        <f>IF(ISERROR(IF(OR(N42="-",N42="n/a",N42=0),(P42-L42),(N42-L42))),"-",IF(OR(N42="-",N42="n/a",N42=0),(P42-L42),(N42-L42)))</f>
        <v>-4.049232363125127E-3</v>
      </c>
      <c r="S42" s="518">
        <f>IF(ISERROR(IF(OR(N42="-",N42="n/a",N42=0),(P42-L42)/L42,(N42-L42)/L42)),"-",IF(OR(N42="-",N42="n/a",N42=0),(P42-L42)/L42,(N42-L42)/L42))</f>
        <v>-5.4774794255407433E-2</v>
      </c>
      <c r="T42" s="484" t="s">
        <v>327</v>
      </c>
      <c r="U42" s="485" t="s">
        <v>327</v>
      </c>
    </row>
    <row r="43" spans="1:22" s="452" customFormat="1" ht="21.2" customHeight="1">
      <c r="A43" s="442"/>
      <c r="B43" s="442">
        <f t="shared" si="13"/>
        <v>31</v>
      </c>
      <c r="C43" s="442" t="str">
        <f t="shared" si="9"/>
        <v>Canton</v>
      </c>
      <c r="D43" s="442" t="str">
        <f>+D41</f>
        <v>Success</v>
      </c>
      <c r="E43" s="566" t="s">
        <v>612</v>
      </c>
      <c r="F43" s="442" t="s">
        <v>615</v>
      </c>
      <c r="G43" s="442" t="s">
        <v>624</v>
      </c>
      <c r="I43" s="453"/>
      <c r="J43" s="454">
        <f t="shared" si="12"/>
        <v>31</v>
      </c>
      <c r="K43" s="454" t="s">
        <v>658</v>
      </c>
      <c r="L43" s="730">
        <v>0.17913189687383235</v>
      </c>
      <c r="M43" s="730">
        <v>0.19739167017248632</v>
      </c>
      <c r="N43" s="730">
        <v>0.17384615384615384</v>
      </c>
      <c r="O43" s="614" t="s">
        <v>327</v>
      </c>
      <c r="P43" s="614" t="s">
        <v>327</v>
      </c>
      <c r="Q43" s="729" t="s">
        <v>327</v>
      </c>
      <c r="R43" s="729">
        <f>IF(ISERROR(IF(OR(N43="-",N43="n/a",N43=0),(P43-L43),(N43-L43))),"-",IF(OR(N43="-",N43="n/a",N43=0),(P43-L43),(N43-L43)))</f>
        <v>-5.2857430276785078E-3</v>
      </c>
      <c r="S43" s="518">
        <f>IF(ISERROR(IF(OR(N43="-",N43="n/a",N43=0),(P43-L43)/L43,(N43-L43)/L43)),"-",IF(OR(N43="-",N43="n/a",N43=0),(P43-L43)/L43,(N43-L43)/L43))</f>
        <v>-2.9507547901429336E-2</v>
      </c>
      <c r="T43" s="484" t="s">
        <v>327</v>
      </c>
      <c r="U43" s="485" t="s">
        <v>327</v>
      </c>
    </row>
    <row r="44" spans="1:22" s="452" customFormat="1" ht="11.1" customHeight="1">
      <c r="A44" s="442"/>
      <c r="B44" s="442">
        <f t="shared" si="13"/>
        <v>0</v>
      </c>
      <c r="C44" s="442"/>
      <c r="D44" s="442"/>
      <c r="E44" s="442"/>
      <c r="F44" s="442"/>
      <c r="G44" s="442"/>
      <c r="I44" s="453"/>
      <c r="J44" s="454"/>
      <c r="K44" s="460"/>
      <c r="L44" s="464"/>
      <c r="M44" s="464"/>
      <c r="N44" s="464"/>
      <c r="O44" s="464"/>
      <c r="P44" s="464"/>
      <c r="Q44" s="464"/>
      <c r="R44" s="464"/>
      <c r="S44" s="465"/>
      <c r="T44" s="464"/>
      <c r="U44" s="464"/>
    </row>
    <row r="45" spans="1:22" ht="25.15" customHeight="1" thickBot="1">
      <c r="B45" s="442">
        <f t="shared" si="13"/>
        <v>0</v>
      </c>
      <c r="I45" s="480"/>
      <c r="J45" s="481"/>
      <c r="K45" s="449" t="s">
        <v>240</v>
      </c>
      <c r="L45" s="482"/>
      <c r="M45" s="482"/>
      <c r="N45" s="482"/>
      <c r="O45" s="482"/>
      <c r="P45" s="482"/>
      <c r="Q45" s="482"/>
      <c r="R45" s="482"/>
      <c r="S45" s="483"/>
      <c r="T45" s="482"/>
      <c r="U45" s="482"/>
    </row>
    <row r="46" spans="1:22" s="452" customFormat="1" ht="21.2" customHeight="1">
      <c r="A46" s="442"/>
      <c r="B46" s="442">
        <f t="shared" si="13"/>
        <v>32</v>
      </c>
      <c r="C46" s="442" t="str">
        <f>+$I$5</f>
        <v>Canton</v>
      </c>
      <c r="D46" s="442" t="str">
        <f>+K45</f>
        <v>Inquiry</v>
      </c>
      <c r="E46" s="442" t="s">
        <v>611</v>
      </c>
      <c r="F46" s="442" t="s">
        <v>615</v>
      </c>
      <c r="G46" s="442" t="s">
        <v>625</v>
      </c>
      <c r="I46" s="453"/>
      <c r="J46" s="454">
        <f>+J43+1</f>
        <v>32</v>
      </c>
      <c r="K46" s="454" t="s">
        <v>639</v>
      </c>
      <c r="L46" s="615">
        <f>+'Research Expenditures'!G9</f>
        <v>1.7608545</v>
      </c>
      <c r="M46" s="615">
        <f>+'Research Expenditures'!H9</f>
        <v>1.8336411400000001</v>
      </c>
      <c r="N46" s="615">
        <f>+'Research Expenditures'!I9</f>
        <v>2.1643140699999996</v>
      </c>
      <c r="O46" s="615">
        <f>+'Research Expenditures'!J9</f>
        <v>1.7731520700000003</v>
      </c>
      <c r="P46" s="615">
        <f>+'Research Expenditures'!K9</f>
        <v>1.4125999299999998</v>
      </c>
      <c r="Q46" s="729" t="s">
        <v>327</v>
      </c>
      <c r="R46" s="615">
        <f>IF(ISERROR(IF(OR(Q46="-",Q46="n/a",Q46=0),(P46-L46),(Q46-L46))),"-",IF(OR(Q46="-",Q46="n/a",Q46=0),(P46-L46),(Q46-L46)))</f>
        <v>-0.34825457000000015</v>
      </c>
      <c r="S46" s="518">
        <f>IF(ISERROR(IF(OR(Q46="-",Q46="n/a",Q46=0),(P46-L46)/L46,(Q46-L46)/L46)),"-",IF(OR(Q46="-",Q46="n/a",Q46=0),(P46-L46)/L46,(Q46-L46)/L46))</f>
        <v>-0.19777589232954804</v>
      </c>
      <c r="T46" s="797">
        <v>1.6</v>
      </c>
      <c r="U46" s="796">
        <v>1.9</v>
      </c>
    </row>
    <row r="47" spans="1:22" s="452" customFormat="1" ht="21.2" customHeight="1">
      <c r="A47" s="442"/>
      <c r="B47" s="442">
        <f t="shared" si="13"/>
        <v>33</v>
      </c>
      <c r="C47" s="442" t="str">
        <f>+$I$5</f>
        <v>Canton</v>
      </c>
      <c r="D47" s="442" t="str">
        <f>+D46</f>
        <v>Inquiry</v>
      </c>
      <c r="E47" s="442"/>
      <c r="F47" s="442"/>
      <c r="G47" s="442"/>
      <c r="I47" s="453"/>
      <c r="J47" s="454">
        <f>+J46+1</f>
        <v>33</v>
      </c>
      <c r="K47" s="454" t="s">
        <v>640</v>
      </c>
      <c r="L47" s="615">
        <f>+'Research Expenditures'!G12</f>
        <v>0.51254617999999996</v>
      </c>
      <c r="M47" s="615">
        <f>+'Research Expenditures'!H12</f>
        <v>0.66419591</v>
      </c>
      <c r="N47" s="615">
        <f>+'Research Expenditures'!I12</f>
        <v>0.91313633999999988</v>
      </c>
      <c r="O47" s="615">
        <f>+'Research Expenditures'!J12</f>
        <v>0.90360024000000005</v>
      </c>
      <c r="P47" s="615">
        <f>+'Research Expenditures'!K12</f>
        <v>0.77950622000000003</v>
      </c>
      <c r="Q47" s="729" t="s">
        <v>327</v>
      </c>
      <c r="R47" s="615">
        <f>IF(ISERROR(IF(OR(Q47="-",Q47="n/a",Q47=0),(P47-L47),(Q47-L47))),"-",IF(OR(Q47="-",Q47="n/a",Q47=0),(P47-L47),(Q47-L47)))</f>
        <v>0.26696004000000007</v>
      </c>
      <c r="S47" s="518">
        <f>IF(ISERROR(IF(OR(Q47="-",Q47="n/a",Q47=0),(P47-L47)/L47,(Q47-L47)/L47)),"-",IF(OR(Q47="-",Q47="n/a",Q47=0),(P47-L47)/L47,(Q47-L47)/L47))</f>
        <v>0.52085070656462618</v>
      </c>
      <c r="T47" s="797">
        <v>0.9</v>
      </c>
      <c r="U47" s="796">
        <v>1.05</v>
      </c>
    </row>
    <row r="48" spans="1:22" s="452" customFormat="1" ht="21.2" customHeight="1">
      <c r="A48" s="442"/>
      <c r="B48" s="442">
        <f t="shared" si="13"/>
        <v>34</v>
      </c>
      <c r="C48" s="442" t="str">
        <f>+$I$5</f>
        <v>Canton</v>
      </c>
      <c r="D48" s="442" t="str">
        <f>+D46</f>
        <v>Inquiry</v>
      </c>
      <c r="E48" s="442" t="s">
        <v>611</v>
      </c>
      <c r="F48" s="442" t="s">
        <v>615</v>
      </c>
      <c r="G48" s="442" t="s">
        <v>623</v>
      </c>
      <c r="I48" s="453"/>
      <c r="J48" s="454">
        <f>+J47+1</f>
        <v>34</v>
      </c>
      <c r="K48" s="454" t="s">
        <v>567</v>
      </c>
      <c r="L48" s="615" t="str">
        <f>+'Research Expenditures'!G15</f>
        <v>n/a</v>
      </c>
      <c r="M48" s="615" t="str">
        <f>+'Research Expenditures'!H15</f>
        <v>n/a</v>
      </c>
      <c r="N48" s="615" t="str">
        <f>+'Research Expenditures'!I15</f>
        <v>n/a</v>
      </c>
      <c r="O48" s="615">
        <f>+'Research Expenditures'!J15</f>
        <v>0.23799999999999999</v>
      </c>
      <c r="P48" s="615" t="str">
        <f>+'Research Expenditures'!K15</f>
        <v>n/a</v>
      </c>
      <c r="Q48" s="729" t="s">
        <v>327</v>
      </c>
      <c r="R48" s="615" t="str">
        <f>IF(ISERROR(IF(OR(O48="-",O48="n/a",O48=0),(P48-L48),(O48-L48))),"-",IF(OR(O48="-",O48="n/a",O48=0),(P48-L48),(O48-L48)))</f>
        <v>-</v>
      </c>
      <c r="S48" s="518" t="str">
        <f>IF(ISERROR(IF(OR(O48="-",O48="n/a",O48=0),(P48-L48)/L48,(O48-L48)/L48)),"-",IF(OR(O48="-",O48="n/a",O48=0),(P48-L48)/L48,(O48-L48)/L48))</f>
        <v>-</v>
      </c>
      <c r="T48" s="484" t="s">
        <v>327</v>
      </c>
      <c r="U48" s="485" t="s">
        <v>327</v>
      </c>
      <c r="V48" s="616"/>
    </row>
    <row r="49" spans="1:21" s="452" customFormat="1" ht="11.1" customHeight="1">
      <c r="A49" s="442"/>
      <c r="B49" s="442">
        <f t="shared" si="13"/>
        <v>0</v>
      </c>
      <c r="C49" s="442"/>
      <c r="D49" s="442"/>
      <c r="E49" s="442"/>
      <c r="F49" s="442"/>
      <c r="G49" s="442"/>
      <c r="I49" s="453"/>
      <c r="J49" s="454"/>
      <c r="K49" s="460"/>
      <c r="L49" s="476"/>
      <c r="M49" s="476"/>
      <c r="N49" s="476"/>
      <c r="O49" s="476"/>
      <c r="P49" s="476"/>
      <c r="Q49" s="476"/>
      <c r="R49" s="476"/>
      <c r="S49" s="479"/>
      <c r="T49" s="476"/>
      <c r="U49" s="476"/>
    </row>
    <row r="50" spans="1:21" ht="25.15" customHeight="1" thickBot="1">
      <c r="B50" s="442">
        <f t="shared" si="13"/>
        <v>0</v>
      </c>
      <c r="I50" s="480"/>
      <c r="J50" s="481"/>
      <c r="K50" s="449" t="s">
        <v>241</v>
      </c>
      <c r="L50" s="482"/>
      <c r="M50" s="482"/>
      <c r="N50" s="482"/>
      <c r="O50" s="482"/>
      <c r="P50" s="482"/>
      <c r="Q50" s="482"/>
      <c r="R50" s="482"/>
      <c r="S50" s="483"/>
      <c r="T50" s="482"/>
      <c r="U50" s="482"/>
    </row>
    <row r="51" spans="1:21" s="452" customFormat="1" ht="21.2" customHeight="1">
      <c r="A51" s="442"/>
      <c r="B51" s="442">
        <f t="shared" si="13"/>
        <v>35</v>
      </c>
      <c r="C51" s="442" t="str">
        <f t="shared" ref="C51:C63" si="14">+$I$5</f>
        <v>Canton</v>
      </c>
      <c r="D51" s="442" t="str">
        <f>+K50</f>
        <v>Engagement</v>
      </c>
      <c r="E51" s="442" t="s">
        <v>611</v>
      </c>
      <c r="F51" s="442" t="s">
        <v>615</v>
      </c>
      <c r="G51" s="442" t="s">
        <v>623</v>
      </c>
      <c r="I51" s="453"/>
      <c r="J51" s="454">
        <f>+J48+1</f>
        <v>35</v>
      </c>
      <c r="K51" s="454" t="s">
        <v>570</v>
      </c>
      <c r="L51" s="615">
        <f>+'Alumni Philanthropy'!G16</f>
        <v>0.82609500000000002</v>
      </c>
      <c r="M51" s="615">
        <f>+'Alumni Philanthropy'!H16</f>
        <v>0.90526300000000004</v>
      </c>
      <c r="N51" s="615">
        <f>+'Alumni Philanthropy'!I16</f>
        <v>0.65834700000000002</v>
      </c>
      <c r="O51" s="615">
        <f>+'Alumni Philanthropy'!J16</f>
        <v>1.3655060000000001</v>
      </c>
      <c r="P51" s="615">
        <f>+'Alumni Philanthropy'!K16</f>
        <v>1.0515129999999999</v>
      </c>
      <c r="Q51" s="729" t="s">
        <v>327</v>
      </c>
      <c r="R51" s="615">
        <f>IF(ISERROR(IF(OR(Q51="-",Q51="n/a",Q51=0),(P51-L51),(Q51-L51))),"-",IF(OR(Q51="-",Q51="n/a",Q51=0),(P51-L51),(Q51-L51)))</f>
        <v>0.2254179999999999</v>
      </c>
      <c r="S51" s="457">
        <f>IF(ISERROR(IF(OR(Q51="-",Q51="n/a",Q51=0),(P51-L51)/L51,(Q51-L51)/L51)),"-",IF(OR(Q51="-",Q51="n/a",Q51=0),(P51-L51)/L51,(Q51-L51)/L51))</f>
        <v>0.27287176414334902</v>
      </c>
      <c r="T51" s="797">
        <v>1.3</v>
      </c>
      <c r="U51" s="796">
        <v>1.5</v>
      </c>
    </row>
    <row r="52" spans="1:21" ht="21.2" customHeight="1">
      <c r="B52" s="442">
        <f t="shared" si="13"/>
        <v>36</v>
      </c>
      <c r="C52" s="442" t="str">
        <f t="shared" si="14"/>
        <v>Canton</v>
      </c>
      <c r="D52" s="442" t="str">
        <f>+D51</f>
        <v>Engagement</v>
      </c>
      <c r="E52" s="442" t="s">
        <v>610</v>
      </c>
      <c r="F52" s="442" t="s">
        <v>615</v>
      </c>
      <c r="G52" s="442" t="s">
        <v>623</v>
      </c>
      <c r="I52" s="453"/>
      <c r="J52" s="454">
        <f>+J51+1</f>
        <v>36</v>
      </c>
      <c r="K52" s="460" t="s">
        <v>641</v>
      </c>
      <c r="L52" s="461">
        <f>+'Alumni Philanthropy'!G12</f>
        <v>4.6975000000000003E-2</v>
      </c>
      <c r="M52" s="461">
        <f>+'Alumni Philanthropy'!H12</f>
        <v>5.1276000000000002E-2</v>
      </c>
      <c r="N52" s="461">
        <f>+'Alumni Philanthropy'!I12</f>
        <v>5.21E-2</v>
      </c>
      <c r="O52" s="461">
        <f>+'Alumni Philanthropy'!J12</f>
        <v>2.8500000000000001E-2</v>
      </c>
      <c r="P52" s="461">
        <f>+'Alumni Philanthropy'!K12</f>
        <v>2.693184172363787E-2</v>
      </c>
      <c r="Q52" s="729" t="s">
        <v>327</v>
      </c>
      <c r="R52" s="729">
        <f>IF(OR(Q52="-",Q52="n/a",Q52=0),(P52-L52),(Q52-L52))</f>
        <v>-2.0043158276362133E-2</v>
      </c>
      <c r="S52" s="518">
        <f>IF(ISERROR(IF(OR(Q52="-",Q52="n/a",Q52=0),(P52-L52)/L52,(Q52-L52)/L52)),"-",IF(OR(Q52="-",Q52="n/a",Q52=0),(P52-L52)/L52,(Q52-L52)/L52))</f>
        <v>-0.42667713201409541</v>
      </c>
      <c r="T52" s="795">
        <v>3.3000000000000002E-2</v>
      </c>
      <c r="U52" s="794">
        <v>0.04</v>
      </c>
    </row>
    <row r="53" spans="1:21" s="452" customFormat="1" ht="11.1" hidden="1" customHeight="1">
      <c r="A53" s="442"/>
      <c r="B53" s="442">
        <f t="shared" si="13"/>
        <v>0</v>
      </c>
      <c r="C53" s="442" t="str">
        <f t="shared" si="14"/>
        <v>Canton</v>
      </c>
      <c r="D53" s="442" t="str">
        <f>+D51</f>
        <v>Engagement</v>
      </c>
      <c r="E53" s="442"/>
      <c r="F53" s="442"/>
      <c r="G53" s="442"/>
      <c r="I53" s="453"/>
      <c r="J53" s="454"/>
      <c r="K53" s="460"/>
      <c r="L53" s="476"/>
      <c r="M53" s="476"/>
      <c r="N53" s="476"/>
      <c r="O53" s="476"/>
      <c r="P53" s="476"/>
      <c r="Q53" s="476"/>
      <c r="R53" s="476"/>
      <c r="S53" s="479"/>
      <c r="T53" s="476"/>
      <c r="U53" s="476"/>
    </row>
    <row r="54" spans="1:21" ht="25.15" hidden="1" customHeight="1" thickBot="1">
      <c r="B54" s="442">
        <f t="shared" si="13"/>
        <v>0</v>
      </c>
      <c r="C54" s="442" t="str">
        <f t="shared" si="14"/>
        <v>Canton</v>
      </c>
      <c r="D54" s="442" t="str">
        <f>+K54</f>
        <v>Budget and Finance</v>
      </c>
      <c r="I54" s="470"/>
      <c r="J54" s="471"/>
      <c r="K54" s="449" t="s">
        <v>215</v>
      </c>
      <c r="L54" s="482"/>
      <c r="M54" s="482"/>
      <c r="N54" s="482"/>
      <c r="O54" s="482"/>
      <c r="P54" s="482"/>
      <c r="Q54" s="482"/>
      <c r="R54" s="482"/>
      <c r="S54" s="483"/>
      <c r="T54" s="482"/>
      <c r="U54" s="482"/>
    </row>
    <row r="55" spans="1:21" ht="21.2" hidden="1" customHeight="1">
      <c r="B55" s="442">
        <f t="shared" si="13"/>
        <v>36</v>
      </c>
      <c r="C55" s="442" t="str">
        <f t="shared" si="14"/>
        <v>Canton</v>
      </c>
      <c r="D55" s="442" t="str">
        <f t="shared" ref="D55:D62" si="15">+D54</f>
        <v>Budget and Finance</v>
      </c>
      <c r="E55" s="442" t="s">
        <v>610</v>
      </c>
      <c r="F55" s="442" t="s">
        <v>615</v>
      </c>
      <c r="G55" s="442" t="s">
        <v>622</v>
      </c>
      <c r="I55" s="453"/>
      <c r="J55" s="454">
        <f>+J51+1</f>
        <v>36</v>
      </c>
      <c r="K55" s="460" t="s">
        <v>214</v>
      </c>
      <c r="L55" s="486"/>
      <c r="M55" s="486"/>
      <c r="N55" s="486"/>
      <c r="O55" s="486"/>
      <c r="P55" s="486"/>
      <c r="Q55" s="486"/>
      <c r="R55" s="486"/>
      <c r="S55" s="457" t="e">
        <f t="shared" ref="S55:S62" si="16">(+Q55-L55)/L55</f>
        <v>#DIV/0!</v>
      </c>
      <c r="T55" s="486"/>
      <c r="U55" s="486"/>
    </row>
    <row r="56" spans="1:21" ht="21.2" hidden="1" customHeight="1">
      <c r="B56" s="442">
        <f t="shared" si="13"/>
        <v>37</v>
      </c>
      <c r="C56" s="442" t="str">
        <f t="shared" si="14"/>
        <v>Canton</v>
      </c>
      <c r="D56" s="442" t="str">
        <f t="shared" si="15"/>
        <v>Budget and Finance</v>
      </c>
      <c r="E56" s="442" t="s">
        <v>610</v>
      </c>
      <c r="F56" s="442" t="s">
        <v>615</v>
      </c>
      <c r="G56" s="442" t="s">
        <v>623</v>
      </c>
      <c r="I56" s="453"/>
      <c r="J56" s="454">
        <f t="shared" ref="J56:J62" si="17">+J55+1</f>
        <v>37</v>
      </c>
      <c r="K56" s="460" t="s">
        <v>213</v>
      </c>
      <c r="L56" s="461"/>
      <c r="M56" s="461"/>
      <c r="N56" s="461"/>
      <c r="O56" s="461"/>
      <c r="P56" s="461"/>
      <c r="Q56" s="461"/>
      <c r="R56" s="461"/>
      <c r="S56" s="487" t="e">
        <f t="shared" si="16"/>
        <v>#DIV/0!</v>
      </c>
      <c r="T56" s="461"/>
      <c r="U56" s="461"/>
    </row>
    <row r="57" spans="1:21" ht="21.2" hidden="1" customHeight="1">
      <c r="B57" s="442">
        <f t="shared" si="13"/>
        <v>38</v>
      </c>
      <c r="C57" s="442" t="str">
        <f t="shared" si="14"/>
        <v>Canton</v>
      </c>
      <c r="D57" s="442" t="str">
        <f t="shared" si="15"/>
        <v>Budget and Finance</v>
      </c>
      <c r="E57" s="442" t="s">
        <v>610</v>
      </c>
      <c r="F57" s="442" t="s">
        <v>615</v>
      </c>
      <c r="G57" s="442" t="s">
        <v>623</v>
      </c>
      <c r="I57" s="453"/>
      <c r="J57" s="454">
        <f t="shared" si="17"/>
        <v>38</v>
      </c>
      <c r="K57" s="460" t="s">
        <v>212</v>
      </c>
      <c r="L57" s="461"/>
      <c r="M57" s="461"/>
      <c r="N57" s="461"/>
      <c r="O57" s="461"/>
      <c r="P57" s="461"/>
      <c r="Q57" s="461"/>
      <c r="R57" s="461"/>
      <c r="S57" s="487" t="e">
        <f t="shared" si="16"/>
        <v>#DIV/0!</v>
      </c>
      <c r="T57" s="461"/>
      <c r="U57" s="461"/>
    </row>
    <row r="58" spans="1:21" ht="21.2" hidden="1" customHeight="1">
      <c r="B58" s="442">
        <f t="shared" si="13"/>
        <v>39</v>
      </c>
      <c r="C58" s="442" t="str">
        <f t="shared" si="14"/>
        <v>Canton</v>
      </c>
      <c r="D58" s="442" t="str">
        <f t="shared" si="15"/>
        <v>Budget and Finance</v>
      </c>
      <c r="E58" s="442" t="s">
        <v>610</v>
      </c>
      <c r="F58" s="442" t="s">
        <v>615</v>
      </c>
      <c r="G58" s="442" t="s">
        <v>622</v>
      </c>
      <c r="I58" s="453"/>
      <c r="J58" s="454">
        <f t="shared" si="17"/>
        <v>39</v>
      </c>
      <c r="K58" s="460" t="s">
        <v>211</v>
      </c>
      <c r="L58" s="488"/>
      <c r="M58" s="488"/>
      <c r="N58" s="488"/>
      <c r="O58" s="488"/>
      <c r="P58" s="488"/>
      <c r="Q58" s="488"/>
      <c r="R58" s="488"/>
      <c r="S58" s="457" t="e">
        <f t="shared" si="16"/>
        <v>#DIV/0!</v>
      </c>
      <c r="T58" s="488"/>
      <c r="U58" s="488"/>
    </row>
    <row r="59" spans="1:21" ht="21.2" hidden="1" customHeight="1">
      <c r="B59" s="442">
        <f t="shared" si="13"/>
        <v>40</v>
      </c>
      <c r="C59" s="442" t="str">
        <f t="shared" si="14"/>
        <v>Canton</v>
      </c>
      <c r="D59" s="442" t="str">
        <f t="shared" si="15"/>
        <v>Budget and Finance</v>
      </c>
      <c r="E59" s="442" t="s">
        <v>610</v>
      </c>
      <c r="F59" s="442" t="s">
        <v>615</v>
      </c>
      <c r="G59" s="442" t="s">
        <v>624</v>
      </c>
      <c r="I59" s="453"/>
      <c r="J59" s="454">
        <f t="shared" si="17"/>
        <v>40</v>
      </c>
      <c r="K59" s="460" t="s">
        <v>210</v>
      </c>
      <c r="L59" s="488"/>
      <c r="M59" s="488"/>
      <c r="N59" s="488"/>
      <c r="O59" s="488"/>
      <c r="P59" s="488"/>
      <c r="Q59" s="488"/>
      <c r="R59" s="488"/>
      <c r="S59" s="457" t="e">
        <f t="shared" si="16"/>
        <v>#DIV/0!</v>
      </c>
      <c r="T59" s="488"/>
      <c r="U59" s="488"/>
    </row>
    <row r="60" spans="1:21" ht="21.2" hidden="1" customHeight="1">
      <c r="B60" s="442">
        <f t="shared" si="13"/>
        <v>41</v>
      </c>
      <c r="C60" s="442" t="str">
        <f t="shared" si="14"/>
        <v>Canton</v>
      </c>
      <c r="D60" s="442" t="str">
        <f t="shared" si="15"/>
        <v>Budget and Finance</v>
      </c>
      <c r="E60" s="442" t="s">
        <v>610</v>
      </c>
      <c r="F60" s="442" t="s">
        <v>615</v>
      </c>
      <c r="G60" s="442" t="s">
        <v>622</v>
      </c>
      <c r="I60" s="453"/>
      <c r="J60" s="454">
        <f t="shared" si="17"/>
        <v>41</v>
      </c>
      <c r="K60" s="460" t="s">
        <v>209</v>
      </c>
      <c r="L60" s="488"/>
      <c r="M60" s="488"/>
      <c r="N60" s="488"/>
      <c r="O60" s="488"/>
      <c r="P60" s="488"/>
      <c r="Q60" s="488"/>
      <c r="R60" s="488"/>
      <c r="S60" s="457" t="e">
        <f t="shared" si="16"/>
        <v>#DIV/0!</v>
      </c>
      <c r="T60" s="488"/>
      <c r="U60" s="488"/>
    </row>
    <row r="61" spans="1:21" ht="21.2" hidden="1" customHeight="1">
      <c r="B61" s="442">
        <f t="shared" si="13"/>
        <v>42</v>
      </c>
      <c r="C61" s="442" t="str">
        <f t="shared" si="14"/>
        <v>Canton</v>
      </c>
      <c r="D61" s="442" t="str">
        <f t="shared" si="15"/>
        <v>Budget and Finance</v>
      </c>
      <c r="E61" s="442" t="s">
        <v>610</v>
      </c>
      <c r="F61" s="442" t="s">
        <v>615</v>
      </c>
      <c r="G61" s="442" t="s">
        <v>623</v>
      </c>
      <c r="I61" s="453"/>
      <c r="J61" s="454">
        <f t="shared" si="17"/>
        <v>42</v>
      </c>
      <c r="K61" s="460" t="s">
        <v>208</v>
      </c>
      <c r="L61" s="461"/>
      <c r="M61" s="461"/>
      <c r="N61" s="461"/>
      <c r="O61" s="461"/>
      <c r="P61" s="461"/>
      <c r="Q61" s="461"/>
      <c r="R61" s="461"/>
      <c r="S61" s="487" t="e">
        <f t="shared" si="16"/>
        <v>#DIV/0!</v>
      </c>
      <c r="T61" s="461"/>
      <c r="U61" s="461"/>
    </row>
    <row r="62" spans="1:21" s="452" customFormat="1" ht="21.2" hidden="1" customHeight="1">
      <c r="A62" s="442"/>
      <c r="B62" s="442">
        <f t="shared" si="13"/>
        <v>43</v>
      </c>
      <c r="C62" s="442" t="str">
        <f t="shared" si="14"/>
        <v>Canton</v>
      </c>
      <c r="D62" s="442" t="str">
        <f t="shared" si="15"/>
        <v>Budget and Finance</v>
      </c>
      <c r="E62" s="442" t="s">
        <v>610</v>
      </c>
      <c r="F62" s="442" t="s">
        <v>615</v>
      </c>
      <c r="G62" s="442" t="s">
        <v>623</v>
      </c>
      <c r="I62" s="453"/>
      <c r="J62" s="454">
        <f t="shared" si="17"/>
        <v>43</v>
      </c>
      <c r="K62" s="460" t="s">
        <v>207</v>
      </c>
      <c r="L62" s="461"/>
      <c r="M62" s="461"/>
      <c r="N62" s="461"/>
      <c r="O62" s="461"/>
      <c r="P62" s="461"/>
      <c r="Q62" s="461"/>
      <c r="R62" s="461"/>
      <c r="S62" s="487" t="e">
        <f t="shared" si="16"/>
        <v>#DIV/0!</v>
      </c>
      <c r="T62" s="461"/>
      <c r="U62" s="461"/>
    </row>
    <row r="63" spans="1:21" s="452" customFormat="1" ht="11.1" hidden="1" customHeight="1">
      <c r="A63" s="442"/>
      <c r="B63" s="442">
        <f t="shared" si="13"/>
        <v>0</v>
      </c>
      <c r="C63" s="442" t="str">
        <f t="shared" si="14"/>
        <v>Canton</v>
      </c>
      <c r="D63" s="442"/>
      <c r="E63" s="442"/>
      <c r="F63" s="442"/>
      <c r="G63" s="442"/>
      <c r="I63" s="453"/>
      <c r="J63" s="454"/>
      <c r="K63" s="460"/>
      <c r="L63" s="476"/>
      <c r="M63" s="476"/>
      <c r="N63" s="476"/>
      <c r="O63" s="476"/>
      <c r="P63" s="476"/>
      <c r="Q63" s="476"/>
      <c r="R63" s="476"/>
      <c r="S63" s="479"/>
      <c r="T63" s="476"/>
      <c r="U63" s="476"/>
    </row>
    <row r="64" spans="1:21" s="452" customFormat="1" ht="6" customHeight="1" thickBot="1">
      <c r="A64" s="442"/>
      <c r="B64" s="442">
        <f t="shared" si="13"/>
        <v>0</v>
      </c>
      <c r="C64" s="442"/>
      <c r="D64" s="442"/>
      <c r="E64" s="442"/>
      <c r="F64" s="442"/>
      <c r="G64" s="442"/>
      <c r="I64" s="453"/>
      <c r="J64" s="617"/>
      <c r="K64" s="618"/>
      <c r="L64" s="619"/>
      <c r="M64" s="619"/>
      <c r="N64" s="619"/>
      <c r="O64" s="619"/>
      <c r="P64" s="619"/>
      <c r="Q64" s="619"/>
      <c r="R64" s="619"/>
      <c r="S64" s="619"/>
      <c r="T64" s="619"/>
      <c r="U64" s="619"/>
    </row>
    <row r="65" spans="9:21" ht="6.95" customHeight="1" thickTop="1">
      <c r="I65" s="453"/>
      <c r="J65" s="489"/>
      <c r="K65" s="490"/>
      <c r="L65" s="491"/>
      <c r="M65" s="491"/>
      <c r="N65" s="491"/>
      <c r="O65" s="491"/>
      <c r="P65" s="491"/>
      <c r="Q65" s="491"/>
      <c r="R65" s="491"/>
      <c r="S65" s="492"/>
      <c r="T65" s="490"/>
      <c r="U65" s="490"/>
    </row>
    <row r="66" spans="9:21" ht="12">
      <c r="I66" s="453"/>
      <c r="J66" s="489" t="s">
        <v>736</v>
      </c>
      <c r="K66" s="489"/>
      <c r="L66" s="491"/>
      <c r="M66" s="491"/>
      <c r="N66" s="491"/>
      <c r="O66" s="491"/>
      <c r="P66" s="491"/>
      <c r="Q66" s="491"/>
      <c r="R66" s="491"/>
      <c r="S66" s="492"/>
      <c r="T66" s="490"/>
      <c r="U66" s="490"/>
    </row>
    <row r="67" spans="9:21" ht="14.25">
      <c r="I67" s="453"/>
      <c r="J67" s="493"/>
      <c r="K67" s="524" t="s">
        <v>656</v>
      </c>
      <c r="L67" s="491"/>
      <c r="M67" s="491"/>
      <c r="N67" s="491"/>
      <c r="O67" s="491"/>
      <c r="P67" s="491"/>
      <c r="Q67" s="491"/>
      <c r="R67" s="491"/>
      <c r="S67" s="492"/>
      <c r="T67" s="490"/>
      <c r="U67" s="490"/>
    </row>
  </sheetData>
  <sheetProtection selectLockedCells="1"/>
  <mergeCells count="5">
    <mergeCell ref="I6:S6"/>
    <mergeCell ref="R5:U5"/>
    <mergeCell ref="T15:U16"/>
    <mergeCell ref="T36:U36"/>
    <mergeCell ref="T40:U40"/>
  </mergeCells>
  <printOptions horizontalCentered="1"/>
  <pageMargins left="0.2" right="0.2" top="0.5" bottom="0.5" header="0.3" footer="0.3"/>
  <pageSetup scale="65" fitToWidth="0" fitToHeight="0" orientation="portrait" horizontalDpi="1200" verticalDpi="1200" r:id="rId1"/>
  <headerFooter alignWithMargins="0">
    <oddFooter>&amp;LState University of New York System Administration&amp;R&amp;G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56"/>
  <sheetViews>
    <sheetView showGridLines="0" topLeftCell="D3" zoomScaleNormal="100" workbookViewId="0">
      <selection activeCell="M62" sqref="M62"/>
    </sheetView>
  </sheetViews>
  <sheetFormatPr defaultColWidth="9.140625" defaultRowHeight="15" customHeight="1"/>
  <cols>
    <col min="1" max="1" width="9.140625" style="32" hidden="1" customWidth="1"/>
    <col min="2" max="2" width="8" style="44" hidden="1" customWidth="1"/>
    <col min="3" max="3" width="10" style="32" hidden="1" customWidth="1"/>
    <col min="4" max="4" width="10" style="50" customWidth="1"/>
    <col min="5" max="5" width="32.85546875" style="1" customWidth="1"/>
    <col min="6" max="6" width="10" style="53" customWidth="1"/>
    <col min="7" max="7" width="10" style="54" customWidth="1"/>
    <col min="8" max="11" width="10" style="53" customWidth="1"/>
    <col min="12" max="12" width="10" style="54" customWidth="1"/>
    <col min="13" max="14" width="10" style="1" customWidth="1"/>
    <col min="15" max="16384" width="9.140625" style="1"/>
  </cols>
  <sheetData>
    <row r="1" spans="1:22" s="32" customFormat="1" ht="15" hidden="1" customHeight="1">
      <c r="A1" s="32" t="s">
        <v>254</v>
      </c>
      <c r="B1" s="44">
        <v>4</v>
      </c>
      <c r="F1" s="44">
        <v>20</v>
      </c>
      <c r="G1" s="44">
        <f>F1+1</f>
        <v>21</v>
      </c>
      <c r="H1" s="44">
        <f>G1+1</f>
        <v>22</v>
      </c>
      <c r="I1" s="44">
        <f>H1+1</f>
        <v>23</v>
      </c>
      <c r="J1" s="44">
        <f>I1+1</f>
        <v>24</v>
      </c>
      <c r="K1" s="44">
        <f>+J1+1</f>
        <v>25</v>
      </c>
      <c r="L1" s="45"/>
      <c r="M1" s="32">
        <v>27</v>
      </c>
      <c r="N1" s="32">
        <f>M1+1</f>
        <v>28</v>
      </c>
    </row>
    <row r="2" spans="1:22" s="32" customFormat="1" ht="15" hidden="1" customHeight="1">
      <c r="B2" s="44">
        <v>5</v>
      </c>
      <c r="F2" s="44"/>
      <c r="G2" s="45"/>
      <c r="H2" s="44"/>
      <c r="I2" s="44"/>
      <c r="J2" s="44"/>
      <c r="K2" s="44"/>
      <c r="L2" s="45"/>
    </row>
    <row r="4" spans="1:22" ht="15" customHeight="1">
      <c r="E4" s="815" t="str">
        <f>"Attachment 2: Data Summary and Detail Tables - "&amp;'Campus Selector'!$G$3</f>
        <v>Attachment 2: Data Summary and Detail Tables - Canton</v>
      </c>
      <c r="F4" s="815"/>
      <c r="G4" s="815"/>
      <c r="H4" s="815"/>
      <c r="I4" s="815"/>
      <c r="J4" s="815"/>
      <c r="K4" s="815"/>
      <c r="L4" s="815"/>
      <c r="M4" s="815"/>
      <c r="N4" s="815"/>
    </row>
    <row r="5" spans="1:22" ht="15" customHeight="1">
      <c r="E5" s="816" t="s">
        <v>494</v>
      </c>
      <c r="F5" s="816"/>
      <c r="G5" s="816"/>
      <c r="H5" s="816"/>
      <c r="I5" s="816"/>
      <c r="J5" s="816"/>
      <c r="K5" s="816"/>
      <c r="L5" s="816"/>
      <c r="M5" s="816"/>
      <c r="N5" s="816"/>
      <c r="R5" s="813"/>
      <c r="S5" s="813"/>
      <c r="T5" s="813"/>
      <c r="U5" s="813"/>
      <c r="V5" s="813"/>
    </row>
    <row r="6" spans="1:22" ht="15" customHeight="1">
      <c r="E6" s="46"/>
      <c r="F6" s="701"/>
      <c r="G6" s="701"/>
      <c r="H6" s="701"/>
      <c r="I6" s="701"/>
      <c r="J6" s="701"/>
      <c r="K6" s="701"/>
      <c r="L6" s="701"/>
    </row>
    <row r="7" spans="1:22" ht="41.25" customHeight="1">
      <c r="B7" s="47" t="s">
        <v>253</v>
      </c>
      <c r="C7" s="48"/>
      <c r="D7" s="526"/>
      <c r="E7" s="715" t="s">
        <v>458</v>
      </c>
      <c r="F7" s="98" t="s">
        <v>49</v>
      </c>
      <c r="G7" s="98" t="s">
        <v>50</v>
      </c>
      <c r="H7" s="98" t="s">
        <v>51</v>
      </c>
      <c r="I7" s="98" t="s">
        <v>52</v>
      </c>
      <c r="J7" s="98" t="s">
        <v>53</v>
      </c>
      <c r="K7" s="98" t="s">
        <v>261</v>
      </c>
      <c r="L7" s="98" t="s">
        <v>39</v>
      </c>
      <c r="M7" s="98" t="s">
        <v>231</v>
      </c>
      <c r="N7" s="98" t="s">
        <v>54</v>
      </c>
    </row>
    <row r="8" spans="1:22" ht="15" customHeight="1">
      <c r="B8" s="47"/>
      <c r="C8" s="48"/>
      <c r="D8" s="526"/>
      <c r="E8" s="817" t="s">
        <v>332</v>
      </c>
      <c r="F8" s="818"/>
      <c r="G8" s="818"/>
      <c r="H8" s="818"/>
      <c r="I8" s="818"/>
      <c r="J8" s="818"/>
      <c r="K8" s="818"/>
      <c r="L8" s="818"/>
      <c r="M8" s="818"/>
      <c r="N8" s="819"/>
    </row>
    <row r="9" spans="1:22" ht="15" customHeight="1">
      <c r="C9" s="48"/>
      <c r="D9" s="526"/>
      <c r="E9" s="94" t="s">
        <v>0</v>
      </c>
      <c r="F9" s="95">
        <f t="shared" ref="F9:K9" si="0">SUM(F13,F27)</f>
        <v>3320</v>
      </c>
      <c r="G9" s="95">
        <f t="shared" si="0"/>
        <v>3655</v>
      </c>
      <c r="H9" s="95">
        <f t="shared" si="0"/>
        <v>3825</v>
      </c>
      <c r="I9" s="95">
        <f t="shared" si="0"/>
        <v>3780</v>
      </c>
      <c r="J9" s="95">
        <f t="shared" si="0"/>
        <v>3512</v>
      </c>
      <c r="K9" s="95">
        <f t="shared" si="0"/>
        <v>3282</v>
      </c>
      <c r="L9" s="273">
        <f>(+K9-F9)/F9</f>
        <v>-1.144578313253012E-2</v>
      </c>
      <c r="M9" s="531">
        <v>3600</v>
      </c>
      <c r="N9" s="532">
        <v>3800</v>
      </c>
    </row>
    <row r="10" spans="1:22" ht="15" customHeight="1">
      <c r="B10" s="47"/>
      <c r="C10" s="48"/>
      <c r="D10" s="526"/>
      <c r="E10" s="71" t="s">
        <v>203</v>
      </c>
      <c r="F10" s="72">
        <f t="shared" ref="F10:K10" si="1">(+F15+F29)/F9</f>
        <v>0.77469879518072293</v>
      </c>
      <c r="G10" s="72">
        <f t="shared" si="1"/>
        <v>0.75868673050615598</v>
      </c>
      <c r="H10" s="72">
        <f t="shared" si="1"/>
        <v>0.77176470588235291</v>
      </c>
      <c r="I10" s="72">
        <f t="shared" si="1"/>
        <v>0.81666666666666665</v>
      </c>
      <c r="J10" s="72">
        <f t="shared" si="1"/>
        <v>0.83656036446469251</v>
      </c>
      <c r="K10" s="72">
        <f t="shared" si="1"/>
        <v>0.85100548446069468</v>
      </c>
      <c r="L10" s="73" t="s">
        <v>327</v>
      </c>
      <c r="M10" s="72">
        <v>0.8</v>
      </c>
      <c r="N10" s="72">
        <v>0.79</v>
      </c>
    </row>
    <row r="11" spans="1:22" ht="15" customHeight="1">
      <c r="B11" s="47"/>
      <c r="C11" s="48"/>
      <c r="D11" s="526"/>
      <c r="E11" s="71" t="s">
        <v>326</v>
      </c>
      <c r="F11" s="72">
        <f t="shared" ref="F11:K11" si="2">(F13/F9)</f>
        <v>1</v>
      </c>
      <c r="G11" s="72">
        <f t="shared" si="2"/>
        <v>1</v>
      </c>
      <c r="H11" s="72">
        <f t="shared" si="2"/>
        <v>1</v>
      </c>
      <c r="I11" s="72">
        <f t="shared" si="2"/>
        <v>1</v>
      </c>
      <c r="J11" s="72">
        <f t="shared" si="2"/>
        <v>1</v>
      </c>
      <c r="K11" s="72">
        <f t="shared" si="2"/>
        <v>1</v>
      </c>
      <c r="L11" s="73" t="s">
        <v>327</v>
      </c>
      <c r="M11" s="72">
        <v>1</v>
      </c>
      <c r="N11" s="72">
        <v>1</v>
      </c>
    </row>
    <row r="12" spans="1:22" ht="6" customHeight="1">
      <c r="B12" s="47"/>
      <c r="C12" s="48"/>
      <c r="D12" s="526"/>
      <c r="E12" s="104"/>
      <c r="F12" s="75"/>
      <c r="G12" s="75"/>
      <c r="H12" s="75"/>
      <c r="I12" s="75"/>
      <c r="J12" s="75"/>
      <c r="K12" s="75"/>
      <c r="L12" s="75"/>
      <c r="M12" s="75"/>
      <c r="N12" s="75"/>
    </row>
    <row r="13" spans="1:22" ht="15" customHeight="1">
      <c r="B13" s="47"/>
      <c r="C13" s="48"/>
      <c r="D13" s="526"/>
      <c r="E13" s="96" t="s">
        <v>1</v>
      </c>
      <c r="F13" s="97">
        <f t="shared" ref="F13:K13" si="3">SUM(F15,F25)</f>
        <v>3320</v>
      </c>
      <c r="G13" s="97">
        <f t="shared" si="3"/>
        <v>3655</v>
      </c>
      <c r="H13" s="97">
        <f t="shared" si="3"/>
        <v>3825</v>
      </c>
      <c r="I13" s="97">
        <f t="shared" si="3"/>
        <v>3780</v>
      </c>
      <c r="J13" s="97">
        <f t="shared" si="3"/>
        <v>3512</v>
      </c>
      <c r="K13" s="97">
        <f t="shared" si="3"/>
        <v>3282</v>
      </c>
      <c r="L13" s="274">
        <f>(+K13-F13)/F13</f>
        <v>-1.144578313253012E-2</v>
      </c>
      <c r="M13" s="531">
        <v>3600</v>
      </c>
      <c r="N13" s="532">
        <v>3800</v>
      </c>
    </row>
    <row r="14" spans="1:22" ht="15" customHeight="1">
      <c r="B14" s="47"/>
      <c r="C14" s="48"/>
      <c r="D14" s="526"/>
      <c r="E14" s="76" t="s">
        <v>203</v>
      </c>
      <c r="F14" s="72">
        <f t="shared" ref="F14:K14" si="4">+F15/F13</f>
        <v>0.77469879518072293</v>
      </c>
      <c r="G14" s="72">
        <f t="shared" si="4"/>
        <v>0.75868673050615598</v>
      </c>
      <c r="H14" s="72">
        <f t="shared" si="4"/>
        <v>0.77176470588235291</v>
      </c>
      <c r="I14" s="72">
        <f t="shared" si="4"/>
        <v>0.81666666666666665</v>
      </c>
      <c r="J14" s="72">
        <f t="shared" si="4"/>
        <v>0.83656036446469251</v>
      </c>
      <c r="K14" s="72">
        <f t="shared" si="4"/>
        <v>0.85100548446069468</v>
      </c>
      <c r="L14" s="380" t="s">
        <v>327</v>
      </c>
      <c r="M14" s="72">
        <v>0.8</v>
      </c>
      <c r="N14" s="72">
        <v>0.79</v>
      </c>
    </row>
    <row r="15" spans="1:22" ht="15" customHeight="1">
      <c r="B15" s="47"/>
      <c r="C15" s="48"/>
      <c r="D15" s="526"/>
      <c r="E15" s="78" t="s">
        <v>328</v>
      </c>
      <c r="F15" s="79">
        <f t="shared" ref="F15:K15" si="5">SUM(F21,F16:F18)</f>
        <v>2572</v>
      </c>
      <c r="G15" s="79">
        <f t="shared" si="5"/>
        <v>2773</v>
      </c>
      <c r="H15" s="79">
        <f t="shared" si="5"/>
        <v>2952</v>
      </c>
      <c r="I15" s="79">
        <f t="shared" si="5"/>
        <v>3087</v>
      </c>
      <c r="J15" s="79">
        <f t="shared" si="5"/>
        <v>2938</v>
      </c>
      <c r="K15" s="79">
        <f t="shared" si="5"/>
        <v>2793</v>
      </c>
      <c r="L15" s="80">
        <f t="shared" ref="L15:L24" si="6">(+K15-F15)/F15</f>
        <v>8.5925349922239505E-2</v>
      </c>
      <c r="M15" s="79">
        <v>2880</v>
      </c>
      <c r="N15" s="83">
        <v>3002</v>
      </c>
    </row>
    <row r="16" spans="1:22" ht="15" customHeight="1">
      <c r="B16" s="47">
        <v>78</v>
      </c>
      <c r="C16" s="48" t="str">
        <f>TEXT($B$1,"00")&amp;"."&amp;TEXT($B16,"000")&amp;"."&amp;TEXT('Campus Selector'!$G$6,"00")</f>
        <v>04.078.25</v>
      </c>
      <c r="D16" s="526"/>
      <c r="E16" s="110" t="s">
        <v>2</v>
      </c>
      <c r="F16" s="79">
        <v>962</v>
      </c>
      <c r="G16" s="79">
        <v>932</v>
      </c>
      <c r="H16" s="79">
        <v>945</v>
      </c>
      <c r="I16" s="79">
        <v>989</v>
      </c>
      <c r="J16" s="81">
        <v>772</v>
      </c>
      <c r="K16" s="82">
        <v>726</v>
      </c>
      <c r="L16" s="80">
        <f t="shared" si="6"/>
        <v>-0.24532224532224534</v>
      </c>
      <c r="M16" s="82">
        <v>743</v>
      </c>
      <c r="N16" s="83">
        <v>800</v>
      </c>
    </row>
    <row r="17" spans="1:14" ht="15" customHeight="1">
      <c r="B17" s="44">
        <v>79</v>
      </c>
      <c r="C17" s="48" t="str">
        <f>TEXT($B$1,"00")&amp;"."&amp;TEXT($B17,"000")&amp;"."&amp;TEXT('Campus Selector'!$G$6,"00")</f>
        <v>04.079.25</v>
      </c>
      <c r="D17" s="526"/>
      <c r="E17" s="110" t="s">
        <v>333</v>
      </c>
      <c r="F17" s="79">
        <v>214</v>
      </c>
      <c r="G17" s="79">
        <v>238</v>
      </c>
      <c r="H17" s="79">
        <v>297</v>
      </c>
      <c r="I17" s="79">
        <v>272</v>
      </c>
      <c r="J17" s="81">
        <v>228</v>
      </c>
      <c r="K17" s="82">
        <v>248</v>
      </c>
      <c r="L17" s="80">
        <f t="shared" si="6"/>
        <v>0.15887850467289719</v>
      </c>
      <c r="M17" s="82">
        <v>283</v>
      </c>
      <c r="N17" s="83">
        <v>306</v>
      </c>
    </row>
    <row r="18" spans="1:14" ht="15" customHeight="1">
      <c r="C18" s="48"/>
      <c r="D18" s="526"/>
      <c r="E18" s="110" t="s">
        <v>3</v>
      </c>
      <c r="F18" s="79">
        <f t="shared" ref="F18:K18" si="7">SUM(F19:F20)</f>
        <v>1396</v>
      </c>
      <c r="G18" s="79">
        <f t="shared" si="7"/>
        <v>1603</v>
      </c>
      <c r="H18" s="79">
        <f t="shared" si="7"/>
        <v>1710</v>
      </c>
      <c r="I18" s="79">
        <f t="shared" si="7"/>
        <v>1826</v>
      </c>
      <c r="J18" s="79">
        <f t="shared" si="7"/>
        <v>1938</v>
      </c>
      <c r="K18" s="79">
        <f t="shared" si="7"/>
        <v>1819</v>
      </c>
      <c r="L18" s="80">
        <f>(+K18-F18)/F18</f>
        <v>0.30300859598853869</v>
      </c>
      <c r="M18" s="82">
        <v>1800</v>
      </c>
      <c r="N18" s="683">
        <v>1896</v>
      </c>
    </row>
    <row r="19" spans="1:14" ht="15" hidden="1" customHeight="1">
      <c r="A19" s="32" t="s">
        <v>492</v>
      </c>
      <c r="B19" s="44">
        <v>80</v>
      </c>
      <c r="C19" s="48" t="str">
        <f>TEXT($B$1,"00")&amp;"."&amp;TEXT($B19,"000")&amp;"."&amp;TEXT('Campus Selector'!$G$6,"00")</f>
        <v>04.080.25</v>
      </c>
      <c r="D19" s="526"/>
      <c r="E19" s="78" t="s">
        <v>3</v>
      </c>
      <c r="F19" s="79">
        <v>1396</v>
      </c>
      <c r="G19" s="79">
        <v>1557</v>
      </c>
      <c r="H19" s="79">
        <v>1649</v>
      </c>
      <c r="I19" s="79">
        <v>1725</v>
      </c>
      <c r="J19" s="81">
        <v>1831</v>
      </c>
      <c r="K19" s="82">
        <v>1707</v>
      </c>
      <c r="L19" s="80">
        <f t="shared" si="6"/>
        <v>0.22277936962750716</v>
      </c>
      <c r="M19" s="82"/>
      <c r="N19" s="683"/>
    </row>
    <row r="20" spans="1:14" ht="15" hidden="1" customHeight="1">
      <c r="A20" s="32" t="s">
        <v>492</v>
      </c>
      <c r="B20" s="44">
        <v>76</v>
      </c>
      <c r="C20" s="48" t="str">
        <f>TEXT($B$1,"00")&amp;"."&amp;TEXT($B20,"000")&amp;"."&amp;TEXT('Campus Selector'!$G$6,"00")</f>
        <v>04.076.25</v>
      </c>
      <c r="D20" s="526"/>
      <c r="E20" s="78" t="s">
        <v>280</v>
      </c>
      <c r="F20" s="79">
        <v>0</v>
      </c>
      <c r="G20" s="79">
        <v>46</v>
      </c>
      <c r="H20" s="79">
        <v>61</v>
      </c>
      <c r="I20" s="79">
        <v>101</v>
      </c>
      <c r="J20" s="81">
        <v>107</v>
      </c>
      <c r="K20" s="82">
        <v>112</v>
      </c>
      <c r="L20" s="80" t="e">
        <f>(+K20-F20)/F20</f>
        <v>#DIV/0!</v>
      </c>
      <c r="M20" s="82"/>
      <c r="N20" s="83"/>
    </row>
    <row r="21" spans="1:14" ht="15" customHeight="1">
      <c r="C21" s="48"/>
      <c r="D21" s="526"/>
      <c r="E21" s="110" t="s">
        <v>358</v>
      </c>
      <c r="F21" s="79">
        <f t="shared" ref="F21:K21" si="8">SUM(F22:F24)</f>
        <v>0</v>
      </c>
      <c r="G21" s="79">
        <f t="shared" si="8"/>
        <v>0</v>
      </c>
      <c r="H21" s="79">
        <f t="shared" si="8"/>
        <v>0</v>
      </c>
      <c r="I21" s="79">
        <f t="shared" si="8"/>
        <v>0</v>
      </c>
      <c r="J21" s="79">
        <f t="shared" si="8"/>
        <v>0</v>
      </c>
      <c r="K21" s="79">
        <f t="shared" si="8"/>
        <v>0</v>
      </c>
      <c r="L21" s="80" t="str">
        <f>IF(ISERROR((+K21-F21)/F21),"-",(+K21-F21)/F21)</f>
        <v>-</v>
      </c>
      <c r="M21" s="83">
        <v>0</v>
      </c>
      <c r="N21" s="83">
        <v>0</v>
      </c>
    </row>
    <row r="22" spans="1:14" ht="15" hidden="1" customHeight="1">
      <c r="A22" s="32" t="s">
        <v>489</v>
      </c>
      <c r="B22" s="44">
        <v>88</v>
      </c>
      <c r="C22" s="48" t="str">
        <f>TEXT($B$1,"00")&amp;"."&amp;TEXT($B22,"000")&amp;"."&amp;TEXT('Campus Selector'!$G$6,"00")</f>
        <v>04.088.25</v>
      </c>
      <c r="D22" s="526"/>
      <c r="E22" s="78" t="s">
        <v>359</v>
      </c>
      <c r="F22" s="79">
        <v>0</v>
      </c>
      <c r="G22" s="79">
        <v>0</v>
      </c>
      <c r="H22" s="79">
        <v>0</v>
      </c>
      <c r="I22" s="79">
        <v>0</v>
      </c>
      <c r="J22" s="81">
        <v>0</v>
      </c>
      <c r="K22" s="82">
        <v>0</v>
      </c>
      <c r="L22" s="80" t="e">
        <f>(+K22-F22)/F22</f>
        <v>#DIV/0!</v>
      </c>
      <c r="M22" s="82"/>
      <c r="N22" s="83"/>
    </row>
    <row r="23" spans="1:14" ht="15" hidden="1" customHeight="1">
      <c r="A23" s="32" t="s">
        <v>489</v>
      </c>
      <c r="B23" s="44">
        <v>77</v>
      </c>
      <c r="C23" s="48" t="str">
        <f>TEXT($B$1,"00")&amp;"."&amp;TEXT($B23,"000")&amp;"."&amp;TEXT('Campus Selector'!$G$6,"00")</f>
        <v>04.077.25</v>
      </c>
      <c r="D23" s="526"/>
      <c r="E23" s="78" t="s">
        <v>279</v>
      </c>
      <c r="F23" s="79">
        <v>0</v>
      </c>
      <c r="G23" s="79">
        <v>0</v>
      </c>
      <c r="H23" s="79">
        <v>0</v>
      </c>
      <c r="I23" s="79">
        <v>0</v>
      </c>
      <c r="J23" s="81">
        <v>0</v>
      </c>
      <c r="K23" s="82">
        <v>0</v>
      </c>
      <c r="L23" s="80" t="e">
        <f t="shared" si="6"/>
        <v>#DIV/0!</v>
      </c>
      <c r="M23" s="82"/>
      <c r="N23" s="83"/>
    </row>
    <row r="24" spans="1:14" ht="15" hidden="1" customHeight="1">
      <c r="A24" s="32" t="s">
        <v>489</v>
      </c>
      <c r="B24" s="44">
        <v>75</v>
      </c>
      <c r="C24" s="48" t="str">
        <f>TEXT($B$1,"00")&amp;"."&amp;TEXT($B24,"000")&amp;"."&amp;TEXT('Campus Selector'!$G$6,"00")</f>
        <v>04.075.25</v>
      </c>
      <c r="D24" s="526"/>
      <c r="E24" s="78" t="s">
        <v>14</v>
      </c>
      <c r="F24" s="79">
        <v>0</v>
      </c>
      <c r="G24" s="79">
        <v>0</v>
      </c>
      <c r="H24" s="79">
        <v>0</v>
      </c>
      <c r="I24" s="79">
        <v>0</v>
      </c>
      <c r="J24" s="81">
        <v>0</v>
      </c>
      <c r="K24" s="82">
        <v>0</v>
      </c>
      <c r="L24" s="80" t="e">
        <f t="shared" si="6"/>
        <v>#DIV/0!</v>
      </c>
      <c r="M24" s="82"/>
      <c r="N24" s="83"/>
    </row>
    <row r="25" spans="1:14" ht="15" customHeight="1">
      <c r="B25" s="44">
        <v>81</v>
      </c>
      <c r="C25" s="48" t="str">
        <f>TEXT($B$1,"00")&amp;"."&amp;TEXT($B25,"000")&amp;"."&amp;TEXT('Campus Selector'!$G$6,"00")</f>
        <v>04.081.25</v>
      </c>
      <c r="D25" s="526"/>
      <c r="E25" s="76" t="s">
        <v>4</v>
      </c>
      <c r="F25" s="79">
        <v>748</v>
      </c>
      <c r="G25" s="79">
        <v>882</v>
      </c>
      <c r="H25" s="79">
        <v>873</v>
      </c>
      <c r="I25" s="79">
        <v>693</v>
      </c>
      <c r="J25" s="79">
        <v>574</v>
      </c>
      <c r="K25" s="83">
        <v>489</v>
      </c>
      <c r="L25" s="77">
        <f>IF(ISERROR((+K25-F25)/F25),"-",(+K25-F25)/F25)</f>
        <v>-0.34625668449197861</v>
      </c>
      <c r="M25" s="83">
        <v>720</v>
      </c>
      <c r="N25" s="83">
        <v>798</v>
      </c>
    </row>
    <row r="26" spans="1:14" ht="6" customHeight="1">
      <c r="B26" s="47"/>
      <c r="C26" s="48"/>
      <c r="D26" s="526"/>
      <c r="E26" s="104"/>
      <c r="F26" s="75"/>
      <c r="G26" s="75"/>
      <c r="H26" s="75"/>
      <c r="I26" s="75"/>
      <c r="J26" s="75"/>
      <c r="K26" s="75"/>
      <c r="L26" s="75"/>
      <c r="M26" s="75"/>
      <c r="N26" s="75"/>
    </row>
    <row r="27" spans="1:14" ht="15" hidden="1" customHeight="1">
      <c r="C27" s="48"/>
      <c r="D27" s="526"/>
      <c r="E27" s="94" t="s">
        <v>5</v>
      </c>
      <c r="F27" s="667">
        <f>SUM(F29,F35)</f>
        <v>0</v>
      </c>
      <c r="G27" s="667">
        <f t="shared" ref="G27:J27" si="9">SUM(G29,G35)</f>
        <v>0</v>
      </c>
      <c r="H27" s="667">
        <f t="shared" si="9"/>
        <v>0</v>
      </c>
      <c r="I27" s="667">
        <f t="shared" si="9"/>
        <v>0</v>
      </c>
      <c r="J27" s="667">
        <f t="shared" si="9"/>
        <v>0</v>
      </c>
      <c r="K27" s="667">
        <f>SUM(K29,K35)</f>
        <v>0</v>
      </c>
      <c r="L27" s="273" t="str">
        <f>IF(ISERROR((+K27-F27)/F27),"-",(+K27-F27)/F27)</f>
        <v>-</v>
      </c>
      <c r="M27" s="278" t="str">
        <f>IF(OR(ISERROR(SUM(M29,M35)),SUM(M29,M35)=0),"",SUM(M29,M35))</f>
        <v/>
      </c>
      <c r="N27" s="237" t="str">
        <f>IF(OR(ISERROR(SUM(N29,N35)),SUM(N29,N35)=0),"",SUM(N29,N35))</f>
        <v/>
      </c>
    </row>
    <row r="28" spans="1:14" ht="15" hidden="1" customHeight="1">
      <c r="C28" s="48"/>
      <c r="D28" s="526"/>
      <c r="E28" s="78" t="s">
        <v>203</v>
      </c>
      <c r="F28" s="680" t="str">
        <f t="shared" ref="F28:K28" si="10">IF(ISERROR(+F29/F27),"-",+F29/F27)</f>
        <v>-</v>
      </c>
      <c r="G28" s="680" t="str">
        <f t="shared" si="10"/>
        <v>-</v>
      </c>
      <c r="H28" s="680" t="str">
        <f t="shared" si="10"/>
        <v>-</v>
      </c>
      <c r="I28" s="680" t="str">
        <f t="shared" si="10"/>
        <v>-</v>
      </c>
      <c r="J28" s="680" t="str">
        <f t="shared" si="10"/>
        <v>-</v>
      </c>
      <c r="K28" s="680" t="str">
        <f t="shared" si="10"/>
        <v>-</v>
      </c>
      <c r="L28" s="407" t="s">
        <v>327</v>
      </c>
      <c r="M28" s="86" t="str">
        <f>IF(ISERROR(+M29/M27),"",+M29/M27)</f>
        <v/>
      </c>
      <c r="N28" s="86" t="str">
        <f>IF(ISERROR(+N29/N27),"",+N29/N27)</f>
        <v/>
      </c>
    </row>
    <row r="29" spans="1:14" ht="15" hidden="1" customHeight="1">
      <c r="B29" s="47"/>
      <c r="C29" s="48"/>
      <c r="D29" s="526"/>
      <c r="E29" s="78" t="s">
        <v>329</v>
      </c>
      <c r="F29" s="668">
        <f t="shared" ref="F29:K29" si="11">SUM(F30:F32)</f>
        <v>0</v>
      </c>
      <c r="G29" s="668">
        <f t="shared" si="11"/>
        <v>0</v>
      </c>
      <c r="H29" s="668">
        <f t="shared" si="11"/>
        <v>0</v>
      </c>
      <c r="I29" s="668">
        <f t="shared" si="11"/>
        <v>0</v>
      </c>
      <c r="J29" s="668">
        <f t="shared" si="11"/>
        <v>0</v>
      </c>
      <c r="K29" s="668">
        <f t="shared" si="11"/>
        <v>0</v>
      </c>
      <c r="L29" s="80" t="str">
        <f>IF(ISERROR((+K29-F29)/F29),"-",(+K29-F29)/F29)</f>
        <v>-</v>
      </c>
      <c r="M29" s="83" t="str">
        <f>IF(OR(ISERROR(SUM(M30:M32)),SUM(M30:M32)=0),"",SUM(M30:M32))</f>
        <v/>
      </c>
      <c r="N29" s="83" t="str">
        <f>IF(SUM(N30:N32)=0,"",SUM(N30:N32))</f>
        <v/>
      </c>
    </row>
    <row r="30" spans="1:14" ht="15" hidden="1" customHeight="1">
      <c r="B30" s="44">
        <v>82</v>
      </c>
      <c r="C30" s="48" t="str">
        <f>TEXT($B$1,"00")&amp;"."&amp;TEXT($B30,"000")&amp;"."&amp;TEXT('Campus Selector'!$G$6,"00")</f>
        <v>04.082.25</v>
      </c>
      <c r="D30" s="526"/>
      <c r="E30" s="110" t="s">
        <v>6</v>
      </c>
      <c r="F30" s="669">
        <v>0</v>
      </c>
      <c r="G30" s="669">
        <v>0</v>
      </c>
      <c r="H30" s="669">
        <v>0</v>
      </c>
      <c r="I30" s="669">
        <v>0</v>
      </c>
      <c r="J30" s="670">
        <v>0</v>
      </c>
      <c r="K30" s="671">
        <v>0</v>
      </c>
      <c r="L30" s="80" t="str">
        <f t="shared" ref="L30:L35" si="12">IF(ISERROR((+K30-F30)/F30),"-",(+K30-F30)/F30)</f>
        <v>-</v>
      </c>
      <c r="M30" s="82"/>
      <c r="N30" s="83"/>
    </row>
    <row r="31" spans="1:14" ht="15" hidden="1" customHeight="1">
      <c r="B31" s="44">
        <v>83</v>
      </c>
      <c r="C31" s="48" t="str">
        <f>TEXT($B$1,"00")&amp;"."&amp;TEXT($B31,"000")&amp;"."&amp;TEXT('Campus Selector'!$G$6,"00")</f>
        <v>04.083.25</v>
      </c>
      <c r="D31" s="526"/>
      <c r="E31" s="110" t="s">
        <v>3</v>
      </c>
      <c r="F31" s="672">
        <v>0</v>
      </c>
      <c r="G31" s="672">
        <v>0</v>
      </c>
      <c r="H31" s="672">
        <v>0</v>
      </c>
      <c r="I31" s="672">
        <v>0</v>
      </c>
      <c r="J31" s="670">
        <v>0</v>
      </c>
      <c r="K31" s="673">
        <v>0</v>
      </c>
      <c r="L31" s="80" t="str">
        <f t="shared" si="12"/>
        <v>-</v>
      </c>
      <c r="M31" s="684"/>
      <c r="N31" s="683"/>
    </row>
    <row r="32" spans="1:14" ht="15" hidden="1" customHeight="1">
      <c r="C32" s="48"/>
      <c r="D32" s="526"/>
      <c r="E32" s="110" t="s">
        <v>358</v>
      </c>
      <c r="F32" s="672">
        <f>SUM(F33:F34)</f>
        <v>0</v>
      </c>
      <c r="G32" s="672">
        <f t="shared" ref="G32:K32" si="13">SUM(G33:G34)</f>
        <v>0</v>
      </c>
      <c r="H32" s="672">
        <f t="shared" si="13"/>
        <v>0</v>
      </c>
      <c r="I32" s="672">
        <f t="shared" si="13"/>
        <v>0</v>
      </c>
      <c r="J32" s="672">
        <f t="shared" si="13"/>
        <v>0</v>
      </c>
      <c r="K32" s="672">
        <f t="shared" si="13"/>
        <v>0</v>
      </c>
      <c r="L32" s="80" t="str">
        <f t="shared" si="12"/>
        <v>-</v>
      </c>
      <c r="M32" s="685"/>
      <c r="N32" s="683"/>
    </row>
    <row r="33" spans="1:17" ht="15" hidden="1" customHeight="1">
      <c r="A33" s="32" t="s">
        <v>489</v>
      </c>
      <c r="B33" s="44">
        <v>74</v>
      </c>
      <c r="C33" s="48" t="str">
        <f>TEXT($B$1,"00")&amp;"."&amp;TEXT($B33,"000")&amp;"."&amp;TEXT('Campus Selector'!$G$6,"00")</f>
        <v>04.074.25</v>
      </c>
      <c r="D33" s="526"/>
      <c r="E33" s="78" t="s">
        <v>279</v>
      </c>
      <c r="F33" s="672">
        <v>0</v>
      </c>
      <c r="G33" s="672">
        <v>0</v>
      </c>
      <c r="H33" s="672">
        <v>0</v>
      </c>
      <c r="I33" s="672">
        <v>0</v>
      </c>
      <c r="J33" s="670">
        <v>0</v>
      </c>
      <c r="K33" s="674">
        <v>0</v>
      </c>
      <c r="L33" s="80" t="str">
        <f t="shared" si="12"/>
        <v>-</v>
      </c>
      <c r="M33" s="83"/>
      <c r="N33" s="83"/>
    </row>
    <row r="34" spans="1:17" ht="15" hidden="1" customHeight="1">
      <c r="A34" s="32" t="s">
        <v>489</v>
      </c>
      <c r="B34" s="44">
        <v>73</v>
      </c>
      <c r="C34" s="48" t="str">
        <f>TEXT($B$1,"00")&amp;"."&amp;TEXT($B34,"000")&amp;"."&amp;TEXT('Campus Selector'!$G$6,"00")</f>
        <v>04.073.25</v>
      </c>
      <c r="D34" s="526"/>
      <c r="E34" s="78" t="s">
        <v>14</v>
      </c>
      <c r="F34" s="672">
        <v>0</v>
      </c>
      <c r="G34" s="672">
        <v>0</v>
      </c>
      <c r="H34" s="672">
        <v>0</v>
      </c>
      <c r="I34" s="672">
        <v>0</v>
      </c>
      <c r="J34" s="731">
        <v>0</v>
      </c>
      <c r="K34" s="674">
        <v>0</v>
      </c>
      <c r="L34" s="80" t="str">
        <f t="shared" si="12"/>
        <v>-</v>
      </c>
      <c r="M34" s="83"/>
      <c r="N34" s="83"/>
    </row>
    <row r="35" spans="1:17" ht="15" hidden="1" customHeight="1">
      <c r="B35" s="44">
        <v>84</v>
      </c>
      <c r="C35" s="48" t="str">
        <f>TEXT($B$1,"00")&amp;"."&amp;TEXT($B35,"000")&amp;"."&amp;TEXT('Campus Selector'!$G$6,"00")</f>
        <v>04.084.25</v>
      </c>
      <c r="D35" s="526"/>
      <c r="E35" s="76" t="s">
        <v>7</v>
      </c>
      <c r="F35" s="669">
        <v>0</v>
      </c>
      <c r="G35" s="669">
        <v>0</v>
      </c>
      <c r="H35" s="669">
        <v>0</v>
      </c>
      <c r="I35" s="669">
        <v>0</v>
      </c>
      <c r="J35" s="669">
        <v>0</v>
      </c>
      <c r="K35" s="674">
        <v>0</v>
      </c>
      <c r="L35" s="77" t="str">
        <f t="shared" si="12"/>
        <v>-</v>
      </c>
      <c r="M35" s="83"/>
      <c r="N35" s="83"/>
    </row>
    <row r="36" spans="1:17" ht="6" hidden="1" customHeight="1">
      <c r="C36" s="48"/>
      <c r="D36" s="526"/>
      <c r="E36" s="84"/>
      <c r="F36" s="675"/>
      <c r="G36" s="675"/>
      <c r="H36" s="675"/>
      <c r="I36" s="675"/>
      <c r="J36" s="675"/>
      <c r="K36" s="675"/>
      <c r="L36" s="105"/>
      <c r="M36" s="105"/>
      <c r="N36" s="105"/>
      <c r="O36" s="50"/>
      <c r="P36" s="50"/>
      <c r="Q36" s="50"/>
    </row>
    <row r="37" spans="1:17" ht="15" hidden="1" customHeight="1">
      <c r="B37" s="47"/>
      <c r="C37" s="48"/>
      <c r="D37" s="526"/>
      <c r="E37" s="109" t="s">
        <v>331</v>
      </c>
      <c r="F37" s="667">
        <f t="shared" ref="F37:K37" si="14">SUM(F38,F39,F40,F41,F42)</f>
        <v>0</v>
      </c>
      <c r="G37" s="667">
        <f t="shared" si="14"/>
        <v>0</v>
      </c>
      <c r="H37" s="667">
        <f t="shared" si="14"/>
        <v>0</v>
      </c>
      <c r="I37" s="667">
        <f t="shared" si="14"/>
        <v>0</v>
      </c>
      <c r="J37" s="667">
        <f t="shared" si="14"/>
        <v>0</v>
      </c>
      <c r="K37" s="667">
        <f t="shared" si="14"/>
        <v>0</v>
      </c>
      <c r="L37" s="275" t="str">
        <f t="shared" ref="L37:L42" si="15">IF(ISERROR((+K37-F37)/F37),"-",(+K37-F37)/F37)</f>
        <v>-</v>
      </c>
      <c r="M37" s="652" t="str">
        <f t="shared" ref="M37:N37" si="16">IF(SUM(M38,M39,M40,M41,M42)=0,"",SUM(M38,M39,M40,M41,M42))</f>
        <v/>
      </c>
      <c r="N37" s="652" t="str">
        <f t="shared" si="16"/>
        <v/>
      </c>
    </row>
    <row r="38" spans="1:17" ht="15" hidden="1" customHeight="1">
      <c r="B38" s="44">
        <v>89</v>
      </c>
      <c r="C38" s="48" t="str">
        <f>TEXT($B$2,"00")&amp;"."&amp;TEXT($B38,"000")&amp;"."&amp;TEXT('Campus Selector'!$G$6,"00")</f>
        <v>05.089.25</v>
      </c>
      <c r="D38" s="526"/>
      <c r="E38" s="91" t="s">
        <v>32</v>
      </c>
      <c r="F38" s="674">
        <v>0</v>
      </c>
      <c r="G38" s="674">
        <v>0</v>
      </c>
      <c r="H38" s="674">
        <v>0</v>
      </c>
      <c r="I38" s="674">
        <v>0</v>
      </c>
      <c r="J38" s="674">
        <v>0</v>
      </c>
      <c r="K38" s="674">
        <v>0</v>
      </c>
      <c r="L38" s="72" t="str">
        <f t="shared" si="15"/>
        <v>-</v>
      </c>
      <c r="M38" s="83"/>
      <c r="N38" s="83"/>
    </row>
    <row r="39" spans="1:17" ht="15" hidden="1" customHeight="1">
      <c r="B39" s="44">
        <v>90</v>
      </c>
      <c r="C39" s="48" t="str">
        <f>TEXT($B$2,"00")&amp;"."&amp;TEXT($B39,"000")&amp;"."&amp;TEXT('Campus Selector'!$G$6,"00")</f>
        <v>05.090.25</v>
      </c>
      <c r="D39" s="526"/>
      <c r="E39" s="91" t="s">
        <v>33</v>
      </c>
      <c r="F39" s="674">
        <v>0</v>
      </c>
      <c r="G39" s="674">
        <v>0</v>
      </c>
      <c r="H39" s="674">
        <v>0</v>
      </c>
      <c r="I39" s="674">
        <v>0</v>
      </c>
      <c r="J39" s="674">
        <v>0</v>
      </c>
      <c r="K39" s="674">
        <v>0</v>
      </c>
      <c r="L39" s="72" t="str">
        <f t="shared" si="15"/>
        <v>-</v>
      </c>
      <c r="M39" s="83"/>
      <c r="N39" s="83"/>
    </row>
    <row r="40" spans="1:17" ht="15" hidden="1" customHeight="1">
      <c r="B40" s="44">
        <v>91</v>
      </c>
      <c r="C40" s="48" t="str">
        <f>TEXT($B$2,"00")&amp;"."&amp;TEXT($B40,"000")&amp;"."&amp;TEXT('Campus Selector'!$G$6,"00")</f>
        <v>05.091.25</v>
      </c>
      <c r="D40" s="526"/>
      <c r="E40" s="91" t="s">
        <v>34</v>
      </c>
      <c r="F40" s="674">
        <v>0</v>
      </c>
      <c r="G40" s="674">
        <v>0</v>
      </c>
      <c r="H40" s="674">
        <v>0</v>
      </c>
      <c r="I40" s="674">
        <v>0</v>
      </c>
      <c r="J40" s="674">
        <v>0</v>
      </c>
      <c r="K40" s="674">
        <v>0</v>
      </c>
      <c r="L40" s="72" t="str">
        <f t="shared" si="15"/>
        <v>-</v>
      </c>
      <c r="M40" s="83"/>
      <c r="N40" s="83"/>
    </row>
    <row r="41" spans="1:17" ht="15" hidden="1" customHeight="1">
      <c r="B41" s="44">
        <v>94</v>
      </c>
      <c r="C41" s="48" t="str">
        <f>TEXT($B$2,"00")&amp;"."&amp;TEXT($B41,"000")&amp;"."&amp;TEXT('Campus Selector'!$G$6,"00")</f>
        <v>05.094.25</v>
      </c>
      <c r="D41" s="526"/>
      <c r="E41" s="92" t="s">
        <v>35</v>
      </c>
      <c r="F41" s="674">
        <v>0</v>
      </c>
      <c r="G41" s="674">
        <v>0</v>
      </c>
      <c r="H41" s="674">
        <v>0</v>
      </c>
      <c r="I41" s="674">
        <v>0</v>
      </c>
      <c r="J41" s="674">
        <v>0</v>
      </c>
      <c r="K41" s="674">
        <v>0</v>
      </c>
      <c r="L41" s="72" t="str">
        <f t="shared" si="15"/>
        <v>-</v>
      </c>
      <c r="M41" s="83"/>
      <c r="N41" s="83"/>
    </row>
    <row r="42" spans="1:17" ht="15" hidden="1" customHeight="1">
      <c r="B42" s="44">
        <v>95</v>
      </c>
      <c r="C42" s="48" t="str">
        <f>TEXT($B$2,"00")&amp;"."&amp;TEXT($B42,"000")&amp;"."&amp;TEXT('Campus Selector'!$G$6,"00")</f>
        <v>05.095.25</v>
      </c>
      <c r="D42" s="526"/>
      <c r="E42" s="92" t="s">
        <v>36</v>
      </c>
      <c r="F42" s="676">
        <v>0</v>
      </c>
      <c r="G42" s="676">
        <v>0</v>
      </c>
      <c r="H42" s="676">
        <v>0</v>
      </c>
      <c r="I42" s="676">
        <v>0</v>
      </c>
      <c r="J42" s="676">
        <v>0</v>
      </c>
      <c r="K42" s="676">
        <v>0</v>
      </c>
      <c r="L42" s="72" t="str">
        <f t="shared" si="15"/>
        <v>-</v>
      </c>
      <c r="M42" s="108"/>
      <c r="N42" s="108"/>
    </row>
    <row r="43" spans="1:17" ht="15" hidden="1" customHeight="1">
      <c r="C43" s="48"/>
      <c r="D43" s="526"/>
      <c r="E43" s="51"/>
      <c r="F43" s="51"/>
      <c r="G43" s="51"/>
      <c r="H43" s="51"/>
      <c r="I43" s="51"/>
      <c r="J43" s="51"/>
      <c r="K43" s="51"/>
      <c r="L43" s="51"/>
    </row>
    <row r="44" spans="1:17" ht="42" customHeight="1">
      <c r="C44" s="48"/>
      <c r="D44" s="526"/>
      <c r="E44" s="49"/>
      <c r="F44" s="98" t="s">
        <v>64</v>
      </c>
      <c r="G44" s="98" t="s">
        <v>65</v>
      </c>
      <c r="H44" s="98" t="s">
        <v>66</v>
      </c>
      <c r="I44" s="98" t="s">
        <v>67</v>
      </c>
      <c r="J44" s="98" t="s">
        <v>68</v>
      </c>
      <c r="K44" s="98" t="s">
        <v>508</v>
      </c>
      <c r="L44" s="98" t="s">
        <v>39</v>
      </c>
      <c r="M44" s="98" t="s">
        <v>377</v>
      </c>
      <c r="N44" s="98" t="s">
        <v>378</v>
      </c>
    </row>
    <row r="45" spans="1:17" ht="15" customHeight="1">
      <c r="B45" s="47"/>
      <c r="C45" s="48"/>
      <c r="D45" s="526"/>
      <c r="E45" s="817" t="s">
        <v>495</v>
      </c>
      <c r="F45" s="818"/>
      <c r="G45" s="818"/>
      <c r="H45" s="818"/>
      <c r="I45" s="818"/>
      <c r="J45" s="818"/>
      <c r="K45" s="818"/>
      <c r="L45" s="818"/>
      <c r="M45" s="818"/>
      <c r="N45" s="819"/>
    </row>
    <row r="46" spans="1:17">
      <c r="B46" s="47">
        <v>87</v>
      </c>
      <c r="C46" s="48" t="str">
        <f>TEXT($B$1,"00")&amp;"."&amp;TEXT($B46,"000")&amp;"."&amp;TEXT('Campus Selector'!$G$6,"00")</f>
        <v>04.087.25</v>
      </c>
      <c r="D46" s="526"/>
      <c r="E46" s="279" t="s">
        <v>432</v>
      </c>
      <c r="F46" s="89">
        <v>2737.7666666666664</v>
      </c>
      <c r="G46" s="89">
        <v>2983.166666666667</v>
      </c>
      <c r="H46" s="89">
        <v>3027.1333333333332</v>
      </c>
      <c r="I46" s="89">
        <v>3119.2333333333336</v>
      </c>
      <c r="J46" s="90">
        <v>2963.7000000000003</v>
      </c>
      <c r="K46" s="90">
        <v>2796.5740000000001</v>
      </c>
      <c r="L46" s="276" t="s">
        <v>327</v>
      </c>
      <c r="M46" s="240" t="s">
        <v>327</v>
      </c>
      <c r="N46" s="277" t="s">
        <v>327</v>
      </c>
    </row>
    <row r="47" spans="1:17">
      <c r="B47" s="44">
        <v>92</v>
      </c>
      <c r="C47" s="48" t="str">
        <f>TEXT($B$1,"00")&amp;"."&amp;TEXT($B47,"000")&amp;"."&amp;TEXT('Campus Selector'!$G$6,"00")</f>
        <v>04.092.25</v>
      </c>
      <c r="D47" s="526"/>
      <c r="E47" s="279" t="s">
        <v>433</v>
      </c>
      <c r="F47" s="83">
        <v>2292</v>
      </c>
      <c r="G47" s="83">
        <v>2292</v>
      </c>
      <c r="H47" s="83">
        <v>2292</v>
      </c>
      <c r="I47" s="83">
        <v>3219.5499999999997</v>
      </c>
      <c r="J47" s="83">
        <v>2455.1719501718217</v>
      </c>
      <c r="K47" s="83">
        <v>2699.0614261168389</v>
      </c>
      <c r="L47" s="511">
        <f>(K47-F47)/F47</f>
        <v>0.1776009712551653</v>
      </c>
      <c r="M47" s="238">
        <v>3120</v>
      </c>
      <c r="N47" s="237">
        <v>3268</v>
      </c>
    </row>
    <row r="48" spans="1:17" ht="15" customHeight="1">
      <c r="C48" s="48"/>
      <c r="D48" s="526"/>
      <c r="E48" s="732" t="s">
        <v>379</v>
      </c>
      <c r="F48" s="733">
        <f t="shared" ref="F48:K48" si="17">(F46-F47)/F47</f>
        <v>0.19448807446189634</v>
      </c>
      <c r="G48" s="733">
        <f t="shared" si="17"/>
        <v>0.30155613728912173</v>
      </c>
      <c r="H48" s="733">
        <f t="shared" si="17"/>
        <v>0.32073880162885393</v>
      </c>
      <c r="I48" s="733">
        <f t="shared" si="17"/>
        <v>-3.1158598768978946E-2</v>
      </c>
      <c r="J48" s="733">
        <f t="shared" si="17"/>
        <v>0.20712522794690205</v>
      </c>
      <c r="K48" s="733">
        <f t="shared" si="17"/>
        <v>3.6128327032354086E-2</v>
      </c>
      <c r="L48" s="734" t="s">
        <v>327</v>
      </c>
      <c r="M48" s="735" t="s">
        <v>327</v>
      </c>
      <c r="N48" s="735" t="s">
        <v>327</v>
      </c>
    </row>
    <row r="49" spans="3:14" ht="6.95" customHeight="1">
      <c r="C49" s="48"/>
      <c r="D49" s="526"/>
      <c r="E49" s="736"/>
      <c r="F49" s="737"/>
      <c r="G49" s="737"/>
      <c r="H49" s="737"/>
      <c r="I49" s="737"/>
      <c r="J49" s="737"/>
      <c r="K49" s="737"/>
      <c r="L49" s="85"/>
      <c r="M49" s="107"/>
      <c r="N49" s="107"/>
    </row>
    <row r="50" spans="3:14" ht="15" customHeight="1">
      <c r="C50" s="48"/>
      <c r="D50" s="526"/>
      <c r="E50" s="119" t="s">
        <v>499</v>
      </c>
      <c r="F50" s="52"/>
      <c r="G50" s="52"/>
      <c r="H50" s="52"/>
      <c r="I50" s="52"/>
      <c r="J50" s="52"/>
      <c r="K50" s="52"/>
      <c r="L50" s="52"/>
    </row>
    <row r="51" spans="3:14" ht="15" customHeight="1">
      <c r="C51" s="48"/>
      <c r="D51" s="526"/>
      <c r="E51" s="118" t="s">
        <v>707</v>
      </c>
    </row>
    <row r="52" spans="3:14" ht="6.95" customHeight="1">
      <c r="C52" s="48"/>
      <c r="D52" s="526"/>
      <c r="E52" s="118"/>
    </row>
    <row r="53" spans="3:14" ht="15" customHeight="1">
      <c r="C53" s="48"/>
      <c r="D53" s="526"/>
      <c r="E53" s="121" t="s">
        <v>260</v>
      </c>
      <c r="F53" s="56"/>
      <c r="G53" s="57"/>
      <c r="H53" s="56"/>
      <c r="I53" s="56"/>
      <c r="J53" s="56"/>
      <c r="K53" s="56"/>
      <c r="L53" s="57"/>
      <c r="M53" s="58"/>
      <c r="N53" s="58"/>
    </row>
    <row r="54" spans="3:14" ht="15" customHeight="1">
      <c r="C54" s="48"/>
      <c r="D54" s="526"/>
      <c r="E54" s="814"/>
      <c r="F54" s="814"/>
      <c r="G54" s="814"/>
      <c r="H54" s="814"/>
      <c r="I54" s="814"/>
      <c r="J54" s="814"/>
      <c r="K54" s="814"/>
      <c r="L54" s="814"/>
      <c r="M54" s="814"/>
      <c r="N54" s="814"/>
    </row>
    <row r="55" spans="3:14" ht="15" customHeight="1">
      <c r="C55" s="48"/>
      <c r="D55" s="526"/>
      <c r="E55" s="814"/>
      <c r="F55" s="814"/>
      <c r="G55" s="814"/>
      <c r="H55" s="814"/>
      <c r="I55" s="814"/>
      <c r="J55" s="814"/>
      <c r="K55" s="814"/>
      <c r="L55" s="814"/>
      <c r="M55" s="814"/>
      <c r="N55" s="814"/>
    </row>
    <row r="56" spans="3:14" ht="15" customHeight="1">
      <c r="C56" s="48"/>
      <c r="D56" s="526"/>
      <c r="E56" s="814"/>
      <c r="F56" s="814"/>
      <c r="G56" s="814"/>
      <c r="H56" s="814"/>
      <c r="I56" s="814"/>
      <c r="J56" s="814"/>
      <c r="K56" s="814"/>
      <c r="L56" s="814"/>
      <c r="M56" s="814"/>
      <c r="N56" s="814"/>
    </row>
  </sheetData>
  <mergeCells count="6">
    <mergeCell ref="R5:V5"/>
    <mergeCell ref="E54:N56"/>
    <mergeCell ref="E4:N4"/>
    <mergeCell ref="E5:N5"/>
    <mergeCell ref="E8:N8"/>
    <mergeCell ref="E45:N45"/>
  </mergeCells>
  <phoneticPr fontId="5" type="noConversion"/>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V49"/>
  <sheetViews>
    <sheetView showGridLines="0" topLeftCell="D3" zoomScaleNormal="100" workbookViewId="0">
      <selection activeCell="L38" sqref="L38"/>
    </sheetView>
  </sheetViews>
  <sheetFormatPr defaultColWidth="9.140625" defaultRowHeight="15" customHeight="1"/>
  <cols>
    <col min="1" max="1" width="9.140625" style="32" hidden="1" customWidth="1"/>
    <col min="2" max="2" width="8" style="44" hidden="1" customWidth="1"/>
    <col min="3" max="3" width="10" style="32" hidden="1" customWidth="1"/>
    <col min="4" max="4" width="10" style="50" customWidth="1"/>
    <col min="5" max="5" width="56.5703125" style="1" customWidth="1"/>
    <col min="6" max="6" width="10" style="53" customWidth="1"/>
    <col min="7" max="7" width="10" style="54" customWidth="1"/>
    <col min="8" max="12" width="10" style="53" customWidth="1"/>
    <col min="13" max="16384" width="9.140625" style="1"/>
  </cols>
  <sheetData>
    <row r="1" spans="1:22" s="32" customFormat="1" ht="15" hidden="1" customHeight="1">
      <c r="A1" s="32" t="s">
        <v>254</v>
      </c>
      <c r="B1" s="44">
        <v>13</v>
      </c>
      <c r="F1" s="44">
        <v>20</v>
      </c>
      <c r="G1" s="44">
        <f>F1+1</f>
        <v>21</v>
      </c>
      <c r="H1" s="44">
        <f>G1+1</f>
        <v>22</v>
      </c>
      <c r="I1" s="44">
        <f>H1+1</f>
        <v>23</v>
      </c>
      <c r="J1" s="44">
        <f>I1+1</f>
        <v>24</v>
      </c>
      <c r="K1" s="44"/>
      <c r="L1" s="44"/>
    </row>
    <row r="2" spans="1:22" s="32" customFormat="1" ht="15" hidden="1" customHeight="1">
      <c r="B2" s="44"/>
      <c r="F2" s="44"/>
      <c r="G2" s="45"/>
      <c r="H2" s="44"/>
      <c r="I2" s="44"/>
      <c r="J2" s="44"/>
      <c r="K2" s="44"/>
      <c r="L2" s="44"/>
    </row>
    <row r="4" spans="1:22" ht="15" customHeight="1">
      <c r="E4" s="815" t="str">
        <f>"Attachment 2: Data Summary and Detail Tables - "&amp;'Campus Selector'!$G$3</f>
        <v>Attachment 2: Data Summary and Detail Tables - Canton</v>
      </c>
      <c r="F4" s="815"/>
      <c r="G4" s="815"/>
      <c r="H4" s="815"/>
      <c r="I4" s="815"/>
      <c r="J4" s="815"/>
      <c r="K4" s="696"/>
      <c r="L4" s="696"/>
    </row>
    <row r="5" spans="1:22" ht="15" customHeight="1">
      <c r="E5" s="816" t="s">
        <v>434</v>
      </c>
      <c r="F5" s="816"/>
      <c r="G5" s="816"/>
      <c r="H5" s="816"/>
      <c r="I5" s="816"/>
      <c r="J5" s="816"/>
      <c r="K5" s="697"/>
      <c r="L5" s="697"/>
      <c r="R5" s="813"/>
      <c r="S5" s="813"/>
      <c r="T5" s="813"/>
      <c r="U5" s="813"/>
      <c r="V5" s="813"/>
    </row>
    <row r="6" spans="1:22" ht="15" customHeight="1">
      <c r="E6" s="46"/>
      <c r="F6" s="701"/>
      <c r="G6" s="701"/>
      <c r="H6" s="701"/>
      <c r="I6" s="701"/>
      <c r="J6" s="701"/>
      <c r="K6" s="701"/>
      <c r="L6" s="701"/>
    </row>
    <row r="7" spans="1:22" ht="39.75" customHeight="1">
      <c r="B7" s="47" t="s">
        <v>253</v>
      </c>
      <c r="C7" s="48"/>
      <c r="D7" s="526"/>
      <c r="E7" s="738" t="s">
        <v>459</v>
      </c>
      <c r="F7" s="528" t="s">
        <v>64</v>
      </c>
      <c r="G7" s="528" t="s">
        <v>65</v>
      </c>
      <c r="H7" s="528" t="s">
        <v>66</v>
      </c>
      <c r="I7" s="528" t="s">
        <v>67</v>
      </c>
      <c r="J7" s="528" t="s">
        <v>68</v>
      </c>
      <c r="K7" s="528" t="s">
        <v>424</v>
      </c>
      <c r="L7" s="528" t="s">
        <v>425</v>
      </c>
    </row>
    <row r="8" spans="1:22" ht="15" customHeight="1">
      <c r="B8" s="47"/>
      <c r="C8" s="48"/>
      <c r="D8" s="526"/>
      <c r="E8" s="817" t="s">
        <v>63</v>
      </c>
      <c r="F8" s="818"/>
      <c r="G8" s="818"/>
      <c r="H8" s="818"/>
      <c r="I8" s="818"/>
      <c r="J8" s="818"/>
      <c r="K8" s="699"/>
      <c r="L8" s="700"/>
    </row>
    <row r="9" spans="1:22" ht="15" customHeight="1">
      <c r="B9" s="47"/>
      <c r="C9" s="48"/>
      <c r="D9" s="526"/>
      <c r="E9" s="529" t="s">
        <v>395</v>
      </c>
      <c r="F9" s="314">
        <f>+'Enrollment 5YR'!F9</f>
        <v>3320</v>
      </c>
      <c r="G9" s="314">
        <f>+'Enrollment 5YR'!G9</f>
        <v>3655</v>
      </c>
      <c r="H9" s="314">
        <f>+'Enrollment 5YR'!H9</f>
        <v>3825</v>
      </c>
      <c r="I9" s="314">
        <f>+'Enrollment 5YR'!I9</f>
        <v>3780</v>
      </c>
      <c r="J9" s="314">
        <f>+'Enrollment 5YR'!J9</f>
        <v>3512</v>
      </c>
      <c r="K9" s="83">
        <f>+'Enrollment 5YR'!M9</f>
        <v>3600</v>
      </c>
      <c r="L9" s="83">
        <f>+'Enrollment 5YR'!N9</f>
        <v>3800</v>
      </c>
    </row>
    <row r="10" spans="1:22" ht="7.5" customHeight="1">
      <c r="B10" s="47"/>
      <c r="C10" s="48"/>
      <c r="D10" s="526"/>
      <c r="E10" s="104"/>
      <c r="F10" s="75"/>
      <c r="G10" s="75"/>
      <c r="H10" s="75"/>
      <c r="I10" s="75"/>
      <c r="J10" s="75"/>
      <c r="K10" s="75"/>
      <c r="L10" s="75"/>
    </row>
    <row r="11" spans="1:22" ht="15" customHeight="1">
      <c r="B11" s="47">
        <v>161</v>
      </c>
      <c r="C11" s="48" t="str">
        <f>TEXT($B$1,"00")&amp;"."&amp;TEXT($B11,"000")&amp;"."&amp;TEXT('Campus Selector'!$G$6,"00")</f>
        <v>13.161.25</v>
      </c>
      <c r="D11" s="526"/>
      <c r="E11" s="408" t="s">
        <v>375</v>
      </c>
      <c r="F11" s="101">
        <v>4332</v>
      </c>
      <c r="G11" s="101">
        <v>5174</v>
      </c>
      <c r="H11" s="101">
        <v>5466</v>
      </c>
      <c r="I11" s="101">
        <v>5232</v>
      </c>
      <c r="J11" s="101">
        <v>4879</v>
      </c>
      <c r="K11" s="238">
        <v>5100</v>
      </c>
      <c r="L11" s="237">
        <v>5400</v>
      </c>
    </row>
    <row r="12" spans="1:22" ht="7.5" customHeight="1">
      <c r="B12" s="47"/>
      <c r="C12" s="48"/>
      <c r="D12" s="526"/>
      <c r="E12" s="104"/>
      <c r="F12" s="75"/>
      <c r="G12" s="75"/>
      <c r="H12" s="75"/>
      <c r="I12" s="75"/>
      <c r="J12" s="75"/>
      <c r="K12" s="75"/>
      <c r="L12" s="75"/>
    </row>
    <row r="13" spans="1:22" s="290" customFormat="1" ht="15" hidden="1" customHeight="1">
      <c r="A13" s="159"/>
      <c r="B13" s="160">
        <v>162</v>
      </c>
      <c r="C13" s="286" t="str">
        <f>TEXT($B$1,"00")&amp;"."&amp;TEXT($B13,"000")&amp;"."&amp;TEXT('Campus Selector'!$G$6,"00")</f>
        <v>13.162.25</v>
      </c>
      <c r="D13" s="526"/>
      <c r="E13" s="409" t="s">
        <v>330</v>
      </c>
      <c r="F13" s="410" t="s">
        <v>187</v>
      </c>
      <c r="G13" s="410" t="s">
        <v>187</v>
      </c>
      <c r="H13" s="410" t="s">
        <v>187</v>
      </c>
      <c r="I13" s="410" t="s">
        <v>187</v>
      </c>
      <c r="J13" s="411">
        <v>0</v>
      </c>
      <c r="K13" s="238"/>
      <c r="L13" s="237"/>
    </row>
    <row r="14" spans="1:22" ht="7.5" hidden="1" customHeight="1">
      <c r="C14" s="48"/>
      <c r="D14" s="526"/>
      <c r="E14" s="104"/>
      <c r="F14" s="75"/>
      <c r="G14" s="75"/>
      <c r="H14" s="75"/>
      <c r="I14" s="75"/>
      <c r="J14" s="75"/>
      <c r="K14" s="75"/>
      <c r="L14" s="75"/>
    </row>
    <row r="15" spans="1:22" s="290" customFormat="1" ht="15" customHeight="1">
      <c r="A15" s="159"/>
      <c r="B15" s="160">
        <v>164</v>
      </c>
      <c r="C15" s="286" t="str">
        <f>TEXT($B$1,"00")&amp;"."&amp;TEXT($B15,"000")&amp;"."&amp;TEXT('Campus Selector'!$G$6,"00")</f>
        <v>13.164.25</v>
      </c>
      <c r="D15" s="526"/>
      <c r="E15" s="408" t="s">
        <v>669</v>
      </c>
      <c r="F15" s="101">
        <f>SUM(F16:F17)</f>
        <v>1684</v>
      </c>
      <c r="G15" s="101">
        <f>SUM(G16:G17)</f>
        <v>1031</v>
      </c>
      <c r="H15" s="101">
        <f>SUM(H16:H17)</f>
        <v>4015</v>
      </c>
      <c r="I15" s="101">
        <f>SUM(I16:I17)</f>
        <v>2503</v>
      </c>
      <c r="J15" s="101">
        <f>SUM(J16:J17)</f>
        <v>5015</v>
      </c>
      <c r="K15" s="238">
        <v>6000</v>
      </c>
      <c r="L15" s="237">
        <v>6500</v>
      </c>
    </row>
    <row r="16" spans="1:22" ht="15" customHeight="1">
      <c r="B16" s="44">
        <v>164</v>
      </c>
      <c r="C16" s="48" t="str">
        <f>TEXT($B$1,"00")&amp;"."&amp;TEXT($B16,"000")&amp;"."&amp;TEXT('Campus Selector'!$G$6,"00")</f>
        <v>13.164.25</v>
      </c>
      <c r="D16" s="526"/>
      <c r="E16" s="313" t="s">
        <v>189</v>
      </c>
      <c r="F16" s="87">
        <v>1330</v>
      </c>
      <c r="G16" s="87">
        <v>424</v>
      </c>
      <c r="H16" s="87">
        <v>0</v>
      </c>
      <c r="I16" s="87">
        <v>741</v>
      </c>
      <c r="J16" s="87">
        <v>778</v>
      </c>
      <c r="K16" s="83">
        <v>1000</v>
      </c>
      <c r="L16" s="83">
        <v>1300</v>
      </c>
    </row>
    <row r="17" spans="1:12" ht="15" customHeight="1">
      <c r="B17" s="44">
        <v>165</v>
      </c>
      <c r="C17" s="48" t="str">
        <f>TEXT($B$1,"00")&amp;"."&amp;TEXT($B17,"000")&amp;"."&amp;TEXT('Campus Selector'!$G$6,"00")</f>
        <v>13.165.25</v>
      </c>
      <c r="D17" s="526"/>
      <c r="E17" s="313" t="s">
        <v>281</v>
      </c>
      <c r="F17" s="87">
        <v>354</v>
      </c>
      <c r="G17" s="87">
        <v>607</v>
      </c>
      <c r="H17" s="87">
        <v>4015</v>
      </c>
      <c r="I17" s="87">
        <v>1762</v>
      </c>
      <c r="J17" s="87">
        <v>4237</v>
      </c>
      <c r="K17" s="83">
        <v>5000</v>
      </c>
      <c r="L17" s="83">
        <v>5200</v>
      </c>
    </row>
    <row r="18" spans="1:12" ht="7.5" customHeight="1">
      <c r="C18" s="48"/>
      <c r="D18" s="526"/>
      <c r="E18" s="541"/>
      <c r="F18" s="542"/>
      <c r="G18" s="542"/>
      <c r="H18" s="542"/>
      <c r="I18" s="542"/>
      <c r="J18" s="542"/>
      <c r="K18" s="85"/>
      <c r="L18" s="85"/>
    </row>
    <row r="19" spans="1:12" s="60" customFormat="1">
      <c r="A19" s="48"/>
      <c r="B19" s="47"/>
      <c r="C19" s="48"/>
      <c r="D19" s="526"/>
      <c r="E19" s="232" t="s">
        <v>581</v>
      </c>
      <c r="F19" s="543"/>
      <c r="G19" s="543"/>
      <c r="H19" s="543"/>
      <c r="I19" s="543"/>
      <c r="J19" s="543"/>
      <c r="K19" s="543"/>
      <c r="L19" s="543"/>
    </row>
    <row r="20" spans="1:12" ht="15" customHeight="1">
      <c r="C20" s="48"/>
      <c r="D20" s="526"/>
      <c r="E20" s="540"/>
      <c r="F20" s="530"/>
      <c r="G20" s="530"/>
      <c r="H20" s="530"/>
      <c r="I20" s="530"/>
      <c r="J20" s="530"/>
      <c r="K20" s="530"/>
      <c r="L20" s="530"/>
    </row>
    <row r="21" spans="1:12" ht="15" customHeight="1">
      <c r="C21" s="48"/>
      <c r="D21" s="526"/>
      <c r="E21" s="540"/>
      <c r="F21" s="530"/>
      <c r="G21" s="530"/>
      <c r="H21" s="530"/>
      <c r="I21" s="530"/>
      <c r="J21" s="530"/>
      <c r="K21" s="530"/>
      <c r="L21" s="530"/>
    </row>
    <row r="22" spans="1:12" ht="15" customHeight="1">
      <c r="C22" s="48"/>
      <c r="D22" s="526"/>
      <c r="E22" s="540"/>
      <c r="F22" s="530"/>
      <c r="G22" s="530"/>
      <c r="H22" s="530"/>
      <c r="I22" s="530"/>
      <c r="J22" s="530"/>
      <c r="K22" s="530"/>
      <c r="L22" s="530"/>
    </row>
    <row r="23" spans="1:12" ht="15" customHeight="1">
      <c r="C23" s="48"/>
      <c r="D23" s="526"/>
      <c r="E23" s="104"/>
      <c r="F23" s="75"/>
      <c r="G23" s="75"/>
      <c r="H23" s="75"/>
      <c r="I23" s="75"/>
      <c r="J23" s="75"/>
      <c r="K23" s="85"/>
      <c r="L23" s="85"/>
    </row>
    <row r="24" spans="1:12" ht="15" customHeight="1">
      <c r="C24" s="48"/>
      <c r="D24" s="526"/>
      <c r="E24" s="94" t="s">
        <v>396</v>
      </c>
      <c r="F24" s="95">
        <f>SUM(F15,F11,F13,F20,F21,F22)</f>
        <v>6016</v>
      </c>
      <c r="G24" s="95">
        <f>SUM(G15,G11,G13,G20,G21,G22)</f>
        <v>6205</v>
      </c>
      <c r="H24" s="95">
        <f>SUM(H15,H11,H13,H20,H21,H22)</f>
        <v>9481</v>
      </c>
      <c r="I24" s="95">
        <f t="shared" ref="I24" si="0">SUM(I15,I11,I13,I20,I21,I22)</f>
        <v>7735</v>
      </c>
      <c r="J24" s="95">
        <f>SUM(J15,J11,J13,J20,J21,J22)</f>
        <v>9894</v>
      </c>
      <c r="K24" s="531">
        <f t="shared" ref="K24:L24" si="1">IF(SUM(K15,K11,K13,K20,K21,K22)=0,"",SUM(K15,K11,K13,K20,K21,K22))</f>
        <v>11100</v>
      </c>
      <c r="L24" s="532">
        <f t="shared" si="1"/>
        <v>11900</v>
      </c>
    </row>
    <row r="25" spans="1:12" ht="6.95" customHeight="1">
      <c r="C25" s="48"/>
      <c r="D25" s="526"/>
      <c r="E25" s="69"/>
      <c r="F25" s="70"/>
      <c r="G25" s="70"/>
      <c r="H25" s="70"/>
      <c r="I25" s="70"/>
      <c r="J25" s="70"/>
      <c r="K25" s="70"/>
      <c r="L25" s="70"/>
    </row>
    <row r="26" spans="1:12" ht="15" customHeight="1">
      <c r="C26" s="48"/>
      <c r="D26" s="526"/>
      <c r="E26" s="125" t="s">
        <v>500</v>
      </c>
      <c r="F26" s="125"/>
      <c r="G26" s="125"/>
      <c r="H26" s="125"/>
      <c r="I26" s="125"/>
      <c r="J26" s="125"/>
      <c r="K26" s="125"/>
      <c r="L26" s="125"/>
    </row>
    <row r="27" spans="1:12" ht="15" customHeight="1">
      <c r="C27" s="48"/>
      <c r="D27" s="526"/>
      <c r="E27" s="118"/>
      <c r="F27" s="126"/>
      <c r="G27" s="127"/>
      <c r="H27" s="126"/>
      <c r="I27" s="126"/>
      <c r="J27" s="126"/>
      <c r="K27" s="126"/>
      <c r="L27" s="126"/>
    </row>
    <row r="28" spans="1:12" ht="15" customHeight="1">
      <c r="C28" s="48"/>
      <c r="D28" s="526"/>
      <c r="E28" s="121" t="s">
        <v>260</v>
      </c>
      <c r="F28" s="122"/>
      <c r="G28" s="123"/>
      <c r="H28" s="122"/>
      <c r="I28" s="122"/>
      <c r="J28" s="122"/>
      <c r="K28" s="122"/>
      <c r="L28" s="122"/>
    </row>
    <row r="29" spans="1:12" ht="15" customHeight="1">
      <c r="C29" s="48"/>
      <c r="D29" s="526"/>
      <c r="E29" s="820"/>
      <c r="F29" s="820"/>
      <c r="G29" s="820"/>
      <c r="H29" s="820"/>
      <c r="I29" s="820"/>
      <c r="J29" s="820"/>
      <c r="K29" s="820"/>
      <c r="L29" s="820"/>
    </row>
    <row r="30" spans="1:12" ht="15" customHeight="1">
      <c r="C30" s="48"/>
      <c r="D30" s="526"/>
      <c r="E30" s="820"/>
      <c r="F30" s="820"/>
      <c r="G30" s="820"/>
      <c r="H30" s="820"/>
      <c r="I30" s="820"/>
      <c r="J30" s="820"/>
      <c r="K30" s="820"/>
      <c r="L30" s="820"/>
    </row>
    <row r="31" spans="1:12" ht="15" customHeight="1">
      <c r="B31" s="47"/>
      <c r="C31" s="48"/>
      <c r="D31" s="526"/>
      <c r="E31" s="820"/>
      <c r="F31" s="820"/>
      <c r="G31" s="820"/>
      <c r="H31" s="820"/>
      <c r="I31" s="820"/>
      <c r="J31" s="820"/>
      <c r="K31" s="820"/>
      <c r="L31" s="820"/>
    </row>
    <row r="32" spans="1:12" ht="15" customHeight="1">
      <c r="C32" s="48"/>
      <c r="D32" s="526"/>
      <c r="E32" s="118"/>
      <c r="F32" s="126"/>
      <c r="G32" s="127"/>
      <c r="H32" s="126"/>
      <c r="I32" s="126"/>
      <c r="J32" s="126"/>
      <c r="K32" s="126"/>
      <c r="L32" s="126"/>
    </row>
    <row r="33" spans="4:4" ht="15" customHeight="1">
      <c r="D33" s="526"/>
    </row>
    <row r="34" spans="4:4" ht="15" customHeight="1">
      <c r="D34" s="526"/>
    </row>
    <row r="35" spans="4:4" ht="15" customHeight="1">
      <c r="D35" s="526"/>
    </row>
    <row r="36" spans="4:4" ht="15" customHeight="1">
      <c r="D36" s="526"/>
    </row>
    <row r="37" spans="4:4" ht="15" customHeight="1">
      <c r="D37" s="526"/>
    </row>
    <row r="38" spans="4:4" ht="15" customHeight="1">
      <c r="D38" s="526"/>
    </row>
    <row r="39" spans="4:4" ht="15" customHeight="1">
      <c r="D39" s="526"/>
    </row>
    <row r="40" spans="4:4" ht="15" customHeight="1">
      <c r="D40" s="526"/>
    </row>
    <row r="41" spans="4:4" ht="15" customHeight="1">
      <c r="D41" s="526"/>
    </row>
    <row r="42" spans="4:4" ht="15" customHeight="1">
      <c r="D42" s="526"/>
    </row>
    <row r="43" spans="4:4" ht="15" customHeight="1">
      <c r="D43" s="526"/>
    </row>
    <row r="44" spans="4:4" ht="15" customHeight="1">
      <c r="D44" s="526"/>
    </row>
    <row r="45" spans="4:4" ht="15" customHeight="1">
      <c r="D45" s="526"/>
    </row>
    <row r="46" spans="4:4" ht="15" customHeight="1">
      <c r="D46" s="526"/>
    </row>
    <row r="47" spans="4:4" ht="15" customHeight="1">
      <c r="D47" s="526"/>
    </row>
    <row r="48" spans="4:4" ht="15" customHeight="1">
      <c r="D48" s="526"/>
    </row>
    <row r="49" spans="4:4" ht="15" customHeight="1">
      <c r="D49" s="526"/>
    </row>
  </sheetData>
  <mergeCells count="5">
    <mergeCell ref="E4:J4"/>
    <mergeCell ref="E5:J5"/>
    <mergeCell ref="E8:J8"/>
    <mergeCell ref="E29:L31"/>
    <mergeCell ref="R5:V5"/>
  </mergeCells>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V55"/>
  <sheetViews>
    <sheetView showGridLines="0" topLeftCell="D3" zoomScaleNormal="100" workbookViewId="0">
      <selection activeCell="Q14" sqref="Q14"/>
    </sheetView>
  </sheetViews>
  <sheetFormatPr defaultColWidth="9.140625" defaultRowHeight="15" customHeight="1"/>
  <cols>
    <col min="1" max="1" width="9.140625" style="32" hidden="1" customWidth="1"/>
    <col min="2" max="2" width="8" style="44" hidden="1" customWidth="1"/>
    <col min="3" max="3" width="11.7109375" style="32" hidden="1" customWidth="1"/>
    <col min="4" max="4" width="10" style="50" customWidth="1"/>
    <col min="5" max="5" width="32.85546875" style="1" customWidth="1"/>
    <col min="6" max="15" width="10" style="1" customWidth="1"/>
    <col min="16" max="16384" width="9.140625" style="1"/>
  </cols>
  <sheetData>
    <row r="1" spans="1:22" s="32" customFormat="1" ht="15" hidden="1" customHeight="1">
      <c r="A1" s="32" t="s">
        <v>254</v>
      </c>
      <c r="B1" s="44">
        <v>6</v>
      </c>
      <c r="F1" s="44">
        <v>20</v>
      </c>
      <c r="G1" s="44">
        <f>F1+1</f>
        <v>21</v>
      </c>
      <c r="H1" s="44">
        <f>G1+1</f>
        <v>22</v>
      </c>
      <c r="I1" s="44">
        <f>H1+1</f>
        <v>23</v>
      </c>
      <c r="J1" s="44">
        <f>I1+1</f>
        <v>24</v>
      </c>
      <c r="K1" s="45">
        <f>+J1+1</f>
        <v>25</v>
      </c>
      <c r="L1" s="45"/>
      <c r="M1" s="44"/>
      <c r="N1" s="32">
        <v>27</v>
      </c>
      <c r="O1" s="32">
        <f>N1+1</f>
        <v>28</v>
      </c>
    </row>
    <row r="2" spans="1:22" s="32" customFormat="1" ht="15" hidden="1" customHeight="1">
      <c r="B2" s="44"/>
      <c r="F2" s="32">
        <v>18</v>
      </c>
      <c r="G2" s="32">
        <f>+F2+1</f>
        <v>19</v>
      </c>
      <c r="H2" s="32">
        <f>+G2+1</f>
        <v>20</v>
      </c>
      <c r="I2" s="32">
        <f>+H2+1</f>
        <v>21</v>
      </c>
      <c r="J2" s="32">
        <f>+I2+1</f>
        <v>22</v>
      </c>
      <c r="K2" s="32">
        <f>+J2+1</f>
        <v>23</v>
      </c>
      <c r="N2" s="32">
        <v>25</v>
      </c>
      <c r="O2" s="32">
        <f>+N2+1</f>
        <v>26</v>
      </c>
    </row>
    <row r="4" spans="1:22" ht="15" customHeight="1">
      <c r="E4" s="815" t="str">
        <f>"Attachment 2: Data Summary and Detail Tables - "&amp;'Campus Selector'!$G$3</f>
        <v>Attachment 2: Data Summary and Detail Tables - Canton</v>
      </c>
      <c r="F4" s="815"/>
      <c r="G4" s="815"/>
      <c r="H4" s="815"/>
      <c r="I4" s="815"/>
      <c r="J4" s="815"/>
      <c r="K4" s="815"/>
      <c r="L4" s="815"/>
      <c r="M4" s="815"/>
      <c r="N4" s="815"/>
      <c r="O4" s="822"/>
    </row>
    <row r="5" spans="1:22" ht="15" customHeight="1">
      <c r="E5" s="816" t="s">
        <v>342</v>
      </c>
      <c r="F5" s="816"/>
      <c r="G5" s="816"/>
      <c r="H5" s="816"/>
      <c r="I5" s="816"/>
      <c r="J5" s="816"/>
      <c r="K5" s="816"/>
      <c r="L5" s="816"/>
      <c r="M5" s="816"/>
      <c r="N5" s="816"/>
      <c r="O5" s="823"/>
      <c r="R5" s="813"/>
      <c r="S5" s="813"/>
      <c r="T5" s="813"/>
      <c r="U5" s="813"/>
      <c r="V5" s="813"/>
    </row>
    <row r="6" spans="1:22" ht="15" customHeight="1">
      <c r="E6" s="46"/>
      <c r="F6" s="65"/>
      <c r="G6" s="65"/>
      <c r="H6" s="65"/>
      <c r="I6" s="65"/>
      <c r="J6" s="65"/>
      <c r="K6" s="65"/>
      <c r="L6" s="65"/>
      <c r="M6" s="65"/>
    </row>
    <row r="7" spans="1:22" ht="41.25" customHeight="1">
      <c r="B7" s="47" t="s">
        <v>253</v>
      </c>
      <c r="C7" s="48"/>
      <c r="D7" s="526"/>
      <c r="E7" s="715" t="s">
        <v>460</v>
      </c>
      <c r="F7" s="98" t="s">
        <v>49</v>
      </c>
      <c r="G7" s="98" t="s">
        <v>50</v>
      </c>
      <c r="H7" s="98" t="s">
        <v>51</v>
      </c>
      <c r="I7" s="98" t="s">
        <v>52</v>
      </c>
      <c r="J7" s="98" t="s">
        <v>53</v>
      </c>
      <c r="K7" s="98" t="s">
        <v>261</v>
      </c>
      <c r="L7" s="98" t="s">
        <v>47</v>
      </c>
      <c r="M7" s="98" t="s">
        <v>39</v>
      </c>
      <c r="N7" s="98" t="s">
        <v>231</v>
      </c>
      <c r="O7" s="98" t="s">
        <v>54</v>
      </c>
    </row>
    <row r="8" spans="1:22" ht="15" customHeight="1">
      <c r="B8" s="47"/>
      <c r="C8" s="48"/>
      <c r="D8" s="526"/>
      <c r="E8" s="817" t="s">
        <v>78</v>
      </c>
      <c r="F8" s="818"/>
      <c r="G8" s="818"/>
      <c r="H8" s="818"/>
      <c r="I8" s="818"/>
      <c r="J8" s="818"/>
      <c r="K8" s="818"/>
      <c r="L8" s="818"/>
      <c r="M8" s="818"/>
      <c r="N8" s="818"/>
      <c r="O8" s="819"/>
    </row>
    <row r="9" spans="1:22">
      <c r="B9" s="47">
        <v>97</v>
      </c>
      <c r="C9" s="48" t="str">
        <f>TEXT($B$1,"00")&amp;"."&amp;TEXT($B9,"000")&amp;"."&amp;TEXT('Campus Selector'!$G$6,"00")</f>
        <v>06.097.25</v>
      </c>
      <c r="D9" s="526"/>
      <c r="E9" s="91" t="s">
        <v>26</v>
      </c>
      <c r="F9" s="83">
        <v>2908</v>
      </c>
      <c r="G9" s="83">
        <v>3249</v>
      </c>
      <c r="H9" s="83">
        <v>3862</v>
      </c>
      <c r="I9" s="83">
        <v>4333</v>
      </c>
      <c r="J9" s="83">
        <v>3359</v>
      </c>
      <c r="K9" s="83">
        <v>4380</v>
      </c>
      <c r="L9" s="72">
        <f>IF(ISERROR((+K9-J9)/J9),"-",(+K9-J9)/J9)</f>
        <v>0.30395951175945224</v>
      </c>
      <c r="M9" s="93">
        <f>IF(ISERROR((+K9-F9)/F9),"-",(+K9-F9)/F9)</f>
        <v>0.50618982118294364</v>
      </c>
      <c r="N9" s="238">
        <v>4500</v>
      </c>
      <c r="O9" s="237">
        <v>5000</v>
      </c>
    </row>
    <row r="10" spans="1:22">
      <c r="B10" s="47">
        <v>98</v>
      </c>
      <c r="C10" s="48" t="str">
        <f>TEXT($B$1,"00")&amp;"."&amp;TEXT($B10,"000")&amp;"."&amp;TEXT('Campus Selector'!$G$6,"00")</f>
        <v>06.098.25</v>
      </c>
      <c r="D10" s="526"/>
      <c r="E10" s="91" t="s">
        <v>27</v>
      </c>
      <c r="F10" s="83">
        <v>2531</v>
      </c>
      <c r="G10" s="83">
        <v>2692</v>
      </c>
      <c r="H10" s="83">
        <v>2860</v>
      </c>
      <c r="I10" s="83">
        <v>3236</v>
      </c>
      <c r="J10" s="83">
        <v>2652</v>
      </c>
      <c r="K10" s="83">
        <v>3072</v>
      </c>
      <c r="L10" s="72">
        <f t="shared" ref="L10:L12" si="0">IF(ISERROR((+K10-J10)/J10),"-",(+K10-J10)/J10)</f>
        <v>0.15837104072398189</v>
      </c>
      <c r="M10" s="93">
        <f>IF(ISERROR((+K10-F10)/F10),"-",(+K10-F10)/F10)</f>
        <v>0.21374950612406163</v>
      </c>
      <c r="N10" s="238">
        <v>3300</v>
      </c>
      <c r="O10" s="237">
        <v>3500</v>
      </c>
    </row>
    <row r="11" spans="1:22">
      <c r="B11" s="47"/>
      <c r="C11" s="48"/>
      <c r="D11" s="526"/>
      <c r="E11" s="139" t="s">
        <v>28</v>
      </c>
      <c r="F11" s="72">
        <f t="shared" ref="F11:K11" si="1">IF(ISERROR(+F10/F9),"-",+F10/F9)</f>
        <v>0.87035763411279232</v>
      </c>
      <c r="G11" s="72">
        <f t="shared" si="1"/>
        <v>0.82856263465681745</v>
      </c>
      <c r="H11" s="72">
        <f t="shared" si="1"/>
        <v>0.74054893837389957</v>
      </c>
      <c r="I11" s="72">
        <f t="shared" si="1"/>
        <v>0.74682667897530575</v>
      </c>
      <c r="J11" s="72">
        <f t="shared" si="1"/>
        <v>0.78952069068175057</v>
      </c>
      <c r="K11" s="72">
        <f t="shared" si="1"/>
        <v>0.70136986301369864</v>
      </c>
      <c r="L11" s="73" t="s">
        <v>327</v>
      </c>
      <c r="M11" s="73" t="s">
        <v>327</v>
      </c>
      <c r="N11" s="72">
        <f>IF(ISERROR(+N10/N9),"",+N10/N9)</f>
        <v>0.73333333333333328</v>
      </c>
      <c r="O11" s="72">
        <f>IF(ISERROR(+O10/O9),"",+O10/O9)</f>
        <v>0.7</v>
      </c>
    </row>
    <row r="12" spans="1:22">
      <c r="B12" s="44">
        <v>99</v>
      </c>
      <c r="C12" s="48" t="str">
        <f>TEXT($B$1,"00")&amp;"."&amp;TEXT($B12,"000")&amp;"."&amp;TEXT('Campus Selector'!$G$6,"00")</f>
        <v>06.099.25</v>
      </c>
      <c r="D12" s="526"/>
      <c r="E12" s="91" t="s">
        <v>29</v>
      </c>
      <c r="F12" s="83">
        <v>962</v>
      </c>
      <c r="G12" s="83">
        <v>924</v>
      </c>
      <c r="H12" s="83">
        <v>945</v>
      </c>
      <c r="I12" s="83">
        <v>989</v>
      </c>
      <c r="J12" s="83">
        <v>772</v>
      </c>
      <c r="K12" s="83">
        <v>726</v>
      </c>
      <c r="L12" s="72">
        <f t="shared" si="0"/>
        <v>-5.9585492227979271E-2</v>
      </c>
      <c r="M12" s="93">
        <f>IF(ISERROR((+K12-F12)/F12),"-",(+K12-F12)/F12)</f>
        <v>-0.24532224532224534</v>
      </c>
      <c r="N12" s="238">
        <v>743</v>
      </c>
      <c r="O12" s="237">
        <v>800</v>
      </c>
    </row>
    <row r="13" spans="1:22">
      <c r="C13" s="48"/>
      <c r="D13" s="526"/>
      <c r="E13" s="138" t="s">
        <v>30</v>
      </c>
      <c r="F13" s="72">
        <f t="shared" ref="F13:K13" si="2">IF(ISERROR(+F12/F10),"-",+F12/F10)</f>
        <v>0.38008692216515211</v>
      </c>
      <c r="G13" s="72">
        <f t="shared" si="2"/>
        <v>0.34323922734026746</v>
      </c>
      <c r="H13" s="72">
        <f t="shared" si="2"/>
        <v>0.33041958041958042</v>
      </c>
      <c r="I13" s="72">
        <f t="shared" si="2"/>
        <v>0.30562422744128553</v>
      </c>
      <c r="J13" s="72">
        <f t="shared" si="2"/>
        <v>0.29110105580693818</v>
      </c>
      <c r="K13" s="72">
        <f t="shared" si="2"/>
        <v>0.236328125</v>
      </c>
      <c r="L13" s="73" t="s">
        <v>327</v>
      </c>
      <c r="M13" s="73" t="s">
        <v>327</v>
      </c>
      <c r="N13" s="72">
        <f>IF(ISERROR(+N12/N10),"",+N12/N10)</f>
        <v>0.22515151515151516</v>
      </c>
      <c r="O13" s="72">
        <f>IF(ISERROR(+O12/O10),"",+O12/O10)</f>
        <v>0.22857142857142856</v>
      </c>
    </row>
    <row r="14" spans="1:22">
      <c r="C14" s="48"/>
      <c r="D14" s="526"/>
      <c r="E14" s="702"/>
      <c r="F14" s="85"/>
      <c r="G14" s="85"/>
      <c r="H14" s="85"/>
      <c r="I14" s="85"/>
      <c r="J14" s="85"/>
      <c r="K14" s="85"/>
      <c r="L14" s="85"/>
      <c r="M14" s="85"/>
      <c r="N14" s="85"/>
      <c r="O14" s="85"/>
    </row>
    <row r="15" spans="1:22">
      <c r="C15" s="48"/>
      <c r="D15" s="526"/>
      <c r="E15" s="817" t="s">
        <v>202</v>
      </c>
      <c r="F15" s="818"/>
      <c r="G15" s="818"/>
      <c r="H15" s="818"/>
      <c r="I15" s="818"/>
      <c r="J15" s="818"/>
      <c r="K15" s="818"/>
      <c r="L15" s="818"/>
      <c r="M15" s="818"/>
      <c r="N15" s="818"/>
      <c r="O15" s="819"/>
    </row>
    <row r="16" spans="1:22">
      <c r="C16" s="48"/>
      <c r="D16" s="526"/>
      <c r="E16" s="707" t="s">
        <v>334</v>
      </c>
      <c r="F16" s="129"/>
      <c r="G16" s="129"/>
      <c r="H16" s="129"/>
      <c r="I16" s="129"/>
      <c r="J16" s="129"/>
      <c r="K16" s="129"/>
      <c r="L16" s="130"/>
      <c r="M16" s="130"/>
      <c r="N16" s="129"/>
      <c r="O16" s="131"/>
    </row>
    <row r="17" spans="2:17" ht="15" customHeight="1">
      <c r="B17" s="44">
        <v>107</v>
      </c>
      <c r="C17" s="48" t="str">
        <f>TEXT($B$1,"00")&amp;"."&amp;TEXT($B17,"000")&amp;"."&amp;TEXT('Campus Selector'!$G$6,"00")</f>
        <v>06.107.25</v>
      </c>
      <c r="D17" s="526"/>
      <c r="E17" s="716" t="s">
        <v>340</v>
      </c>
      <c r="F17" s="717">
        <f t="shared" ref="F17:K17" si="3">SUM(F18:F24)</f>
        <v>94</v>
      </c>
      <c r="G17" s="717">
        <f t="shared" si="3"/>
        <v>79</v>
      </c>
      <c r="H17" s="717">
        <f t="shared" si="3"/>
        <v>99</v>
      </c>
      <c r="I17" s="717">
        <f t="shared" si="3"/>
        <v>127</v>
      </c>
      <c r="J17" s="717">
        <f t="shared" si="3"/>
        <v>117</v>
      </c>
      <c r="K17" s="717">
        <f t="shared" si="3"/>
        <v>131</v>
      </c>
      <c r="L17" s="93">
        <f t="shared" ref="L17:L24" si="4">IF(ISERROR((+K17-J17)/J17),"-",(+K17-J17)/J17)</f>
        <v>0.11965811965811966</v>
      </c>
      <c r="M17" s="394">
        <f t="shared" ref="M17:M23" si="5">IF(ISERROR((+K17-F17)/F17),"-",(+K17-F17)/F17)</f>
        <v>0.39361702127659576</v>
      </c>
      <c r="N17" s="534">
        <f>SUM(N18:N24)</f>
        <v>144</v>
      </c>
      <c r="O17" s="535">
        <f>SUM(O18:O24)</f>
        <v>154</v>
      </c>
    </row>
    <row r="18" spans="2:17">
      <c r="B18" s="44">
        <v>100</v>
      </c>
      <c r="C18" s="48" t="str">
        <f>TEXT($B$1,"00")&amp;"."&amp;TEXT($B18,"000")&amp;"."&amp;TEXT('Campus Selector'!$G$6,"00")</f>
        <v>06.100.25</v>
      </c>
      <c r="D18" s="526"/>
      <c r="E18" s="139" t="s">
        <v>79</v>
      </c>
      <c r="F18" s="271">
        <v>4</v>
      </c>
      <c r="G18" s="271">
        <v>2</v>
      </c>
      <c r="H18" s="271">
        <v>2</v>
      </c>
      <c r="I18" s="271">
        <v>8</v>
      </c>
      <c r="J18" s="271">
        <v>0</v>
      </c>
      <c r="K18" s="271">
        <v>10</v>
      </c>
      <c r="L18" s="114" t="str">
        <f t="shared" si="4"/>
        <v>-</v>
      </c>
      <c r="M18" s="80">
        <f t="shared" si="5"/>
        <v>1.5</v>
      </c>
      <c r="N18" s="718">
        <v>10</v>
      </c>
      <c r="O18" s="719">
        <v>13</v>
      </c>
    </row>
    <row r="19" spans="2:17">
      <c r="B19" s="44">
        <v>101</v>
      </c>
      <c r="C19" s="48" t="str">
        <f>TEXT($B$1,"00")&amp;"."&amp;TEXT($B19,"000")&amp;"."&amp;TEXT('Campus Selector'!$G$6,"00")</f>
        <v>06.101.25</v>
      </c>
      <c r="D19" s="526"/>
      <c r="E19" s="139" t="s">
        <v>80</v>
      </c>
      <c r="F19" s="272">
        <v>11</v>
      </c>
      <c r="G19" s="272">
        <v>10</v>
      </c>
      <c r="H19" s="272">
        <v>9</v>
      </c>
      <c r="I19" s="272">
        <v>27</v>
      </c>
      <c r="J19" s="272">
        <v>0</v>
      </c>
      <c r="K19" s="272">
        <v>18</v>
      </c>
      <c r="L19" s="77" t="str">
        <f t="shared" si="4"/>
        <v>-</v>
      </c>
      <c r="M19" s="80">
        <f t="shared" si="5"/>
        <v>0.63636363636363635</v>
      </c>
      <c r="N19" s="238">
        <v>20</v>
      </c>
      <c r="O19" s="237">
        <v>22</v>
      </c>
    </row>
    <row r="20" spans="2:17">
      <c r="B20" s="44">
        <v>102</v>
      </c>
      <c r="C20" s="48" t="str">
        <f>TEXT($B$1,"00")&amp;"."&amp;TEXT($B20,"000")&amp;"."&amp;TEXT('Campus Selector'!$G$6,"00")</f>
        <v>06.102.25</v>
      </c>
      <c r="D20" s="526"/>
      <c r="E20" s="139" t="s">
        <v>81</v>
      </c>
      <c r="F20" s="272">
        <v>28</v>
      </c>
      <c r="G20" s="272">
        <v>29</v>
      </c>
      <c r="H20" s="272">
        <v>33</v>
      </c>
      <c r="I20" s="272">
        <v>38</v>
      </c>
      <c r="J20" s="272">
        <v>0</v>
      </c>
      <c r="K20" s="272">
        <v>25</v>
      </c>
      <c r="L20" s="77" t="str">
        <f t="shared" si="4"/>
        <v>-</v>
      </c>
      <c r="M20" s="80">
        <f t="shared" si="5"/>
        <v>-0.10714285714285714</v>
      </c>
      <c r="N20" s="238">
        <v>45</v>
      </c>
      <c r="O20" s="237">
        <v>50</v>
      </c>
    </row>
    <row r="21" spans="2:17">
      <c r="B21" s="44">
        <v>103</v>
      </c>
      <c r="C21" s="48" t="str">
        <f>TEXT($B$1,"00")&amp;"."&amp;TEXT($B21,"000")&amp;"."&amp;TEXT('Campus Selector'!$G$6,"00")</f>
        <v>06.103.25</v>
      </c>
      <c r="D21" s="526"/>
      <c r="E21" s="139" t="s">
        <v>360</v>
      </c>
      <c r="F21" s="272">
        <v>27</v>
      </c>
      <c r="G21" s="272">
        <v>18</v>
      </c>
      <c r="H21" s="272">
        <v>15</v>
      </c>
      <c r="I21" s="272">
        <v>19</v>
      </c>
      <c r="J21" s="272">
        <v>0</v>
      </c>
      <c r="K21" s="272">
        <v>30</v>
      </c>
      <c r="L21" s="77" t="str">
        <f t="shared" si="4"/>
        <v>-</v>
      </c>
      <c r="M21" s="80">
        <f t="shared" si="5"/>
        <v>0.1111111111111111</v>
      </c>
      <c r="N21" s="238">
        <v>30</v>
      </c>
      <c r="O21" s="237">
        <v>30</v>
      </c>
    </row>
    <row r="22" spans="2:17" ht="15.75" thickBot="1">
      <c r="B22" s="44">
        <v>104</v>
      </c>
      <c r="C22" s="48" t="str">
        <f>TEXT($B$1,"00")&amp;"."&amp;TEXT($B22,"000")&amp;"."&amp;TEXT('Campus Selector'!$G$6,"00")</f>
        <v>06.104.25</v>
      </c>
      <c r="D22" s="526"/>
      <c r="E22" s="418" t="s">
        <v>82</v>
      </c>
      <c r="F22" s="423">
        <v>5</v>
      </c>
      <c r="G22" s="423">
        <v>5</v>
      </c>
      <c r="H22" s="423">
        <v>3</v>
      </c>
      <c r="I22" s="423">
        <v>5</v>
      </c>
      <c r="J22" s="423">
        <v>0</v>
      </c>
      <c r="K22" s="423">
        <v>4</v>
      </c>
      <c r="L22" s="420" t="str">
        <f t="shared" si="4"/>
        <v>-</v>
      </c>
      <c r="M22" s="421">
        <f t="shared" si="5"/>
        <v>-0.2</v>
      </c>
      <c r="N22" s="720">
        <v>4</v>
      </c>
      <c r="O22" s="721">
        <v>4</v>
      </c>
    </row>
    <row r="23" spans="2:17" ht="15.75" thickTop="1">
      <c r="B23" s="44">
        <v>105</v>
      </c>
      <c r="C23" s="48" t="str">
        <f>TEXT($B$1,"00")&amp;"."&amp;TEXT($B23,"000")&amp;"."&amp;TEXT('Campus Selector'!$G$6,"00")</f>
        <v>06.105.25</v>
      </c>
      <c r="D23" s="526"/>
      <c r="E23" s="416" t="s">
        <v>435</v>
      </c>
      <c r="F23" s="422">
        <v>18</v>
      </c>
      <c r="G23" s="422">
        <v>15</v>
      </c>
      <c r="H23" s="422">
        <v>37</v>
      </c>
      <c r="I23" s="422">
        <v>30</v>
      </c>
      <c r="J23" s="422">
        <v>117</v>
      </c>
      <c r="K23" s="422">
        <v>44</v>
      </c>
      <c r="L23" s="417">
        <f t="shared" si="4"/>
        <v>-0.62393162393162394</v>
      </c>
      <c r="M23" s="251">
        <f t="shared" si="5"/>
        <v>1.4444444444444444</v>
      </c>
      <c r="N23" s="722">
        <v>35</v>
      </c>
      <c r="O23" s="723">
        <v>35</v>
      </c>
    </row>
    <row r="24" spans="2:17">
      <c r="B24" s="44">
        <v>106</v>
      </c>
      <c r="C24" s="48" t="str">
        <f>TEXT($B$1,"00")&amp;"."&amp;TEXT($B24,"000")&amp;"."&amp;TEXT('Campus Selector'!$G$6,"00")</f>
        <v>06.106.25</v>
      </c>
      <c r="D24" s="526"/>
      <c r="E24" s="412" t="s">
        <v>278</v>
      </c>
      <c r="F24" s="413">
        <v>1</v>
      </c>
      <c r="G24" s="413">
        <v>0</v>
      </c>
      <c r="H24" s="413">
        <v>0</v>
      </c>
      <c r="I24" s="413">
        <v>0</v>
      </c>
      <c r="J24" s="413">
        <v>0</v>
      </c>
      <c r="K24" s="413">
        <v>0</v>
      </c>
      <c r="L24" s="248" t="str">
        <f t="shared" si="4"/>
        <v>-</v>
      </c>
      <c r="M24" s="251">
        <f>IF(ISERROR((+K24-F24)/F24),"-",(+K24-F24)/F24)</f>
        <v>-1</v>
      </c>
      <c r="N24" s="724">
        <v>0</v>
      </c>
      <c r="O24" s="725">
        <v>0</v>
      </c>
    </row>
    <row r="25" spans="2:17" ht="7.5" customHeight="1">
      <c r="C25" s="48"/>
      <c r="D25" s="526"/>
      <c r="E25" s="133"/>
      <c r="F25" s="112"/>
      <c r="G25" s="112"/>
      <c r="H25" s="112"/>
      <c r="I25" s="112"/>
      <c r="J25" s="112"/>
      <c r="K25" s="112"/>
      <c r="L25" s="103"/>
      <c r="M25" s="103"/>
      <c r="N25" s="113"/>
      <c r="O25" s="113"/>
    </row>
    <row r="26" spans="2:17">
      <c r="C26" s="48"/>
      <c r="D26" s="526"/>
      <c r="E26" s="703" t="s">
        <v>335</v>
      </c>
      <c r="F26" s="129"/>
      <c r="G26" s="129"/>
      <c r="H26" s="129"/>
      <c r="I26" s="129"/>
      <c r="J26" s="129"/>
      <c r="K26" s="129"/>
      <c r="L26" s="130"/>
      <c r="M26" s="130"/>
      <c r="N26" s="129"/>
      <c r="O26" s="131"/>
    </row>
    <row r="27" spans="2:17">
      <c r="C27" s="48"/>
      <c r="D27" s="526"/>
      <c r="E27" s="139" t="s">
        <v>79</v>
      </c>
      <c r="F27" s="115">
        <f>IF(ISERROR(+F18/SUM($F$18:$F$22)),"-",+F18/SUM($F$18:$F$22))</f>
        <v>5.3333333333333337E-2</v>
      </c>
      <c r="G27" s="115">
        <f>IF(ISERROR(+G18/SUM($G$18:$G$22)),"-",+G18/SUM($G$18:$G$22))</f>
        <v>3.125E-2</v>
      </c>
      <c r="H27" s="115">
        <f>IF(ISERROR(+H18/SUM($H$18:$H$22)),"-",+H18/SUM($H$18:$H$22))</f>
        <v>3.2258064516129031E-2</v>
      </c>
      <c r="I27" s="115">
        <f>IF(ISERROR(+I18/SUM($I$18:$I$22)),"-",+I18/SUM($I$18:$I$22))</f>
        <v>8.247422680412371E-2</v>
      </c>
      <c r="J27" s="115" t="str">
        <f>IF(ISERROR(+J18/SUM($J$18:$J$22)),"-",+J18/SUM($J$18:$J$22))</f>
        <v>-</v>
      </c>
      <c r="K27" s="115">
        <f>IF(ISERROR(+K18/SUM($K$18:$K$22)),"-",+K18/SUM($K$18:$K$22))</f>
        <v>0.11494252873563218</v>
      </c>
      <c r="L27" s="407" t="s">
        <v>327</v>
      </c>
      <c r="M27" s="407" t="s">
        <v>327</v>
      </c>
      <c r="N27" s="115">
        <f t="shared" ref="N27:O33" si="6">IF(ISERROR(IF(+N18/SUM($F$18:$F$24)=0,"-",+N18/SUM($F$18:$F$24))),"-",IF(+N18/SUM($F$18:$F$24)=0,"-",+N18/SUM($F$18:$F$24)))</f>
        <v>0.10638297872340426</v>
      </c>
      <c r="O27" s="115">
        <f t="shared" si="6"/>
        <v>0.13829787234042554</v>
      </c>
    </row>
    <row r="28" spans="2:17">
      <c r="C28" s="48"/>
      <c r="D28" s="526"/>
      <c r="E28" s="139" t="s">
        <v>80</v>
      </c>
      <c r="F28" s="115">
        <f>IF(ISERROR(+F19/SUM($F$18:$F$22)),"-",+F19/SUM($F$18:$F$22))</f>
        <v>0.14666666666666667</v>
      </c>
      <c r="G28" s="115">
        <f>IF(ISERROR(+G19/SUM($G$18:$G$22)),"-",+G19/SUM($G$18:$G$22))</f>
        <v>0.15625</v>
      </c>
      <c r="H28" s="115">
        <f>IF(ISERROR(+H19/SUM($H$18:$H$22)),"-",+H19/SUM($H$18:$H$22))</f>
        <v>0.14516129032258066</v>
      </c>
      <c r="I28" s="115">
        <f>IF(ISERROR(+I19/SUM($I$18:$I$22)),"-",+I19/SUM($I$18:$I$22))</f>
        <v>0.27835051546391754</v>
      </c>
      <c r="J28" s="115" t="str">
        <f>IF(ISERROR(+J19/SUM($J$18:$J$22)),"-",+J19/SUM($J$18:$J$22))</f>
        <v>-</v>
      </c>
      <c r="K28" s="115">
        <f>IF(ISERROR(+K19/SUM($K$18:$K$22)),"-",+K19/SUM($K$18:$K$22))</f>
        <v>0.20689655172413793</v>
      </c>
      <c r="L28" s="407" t="s">
        <v>327</v>
      </c>
      <c r="M28" s="407" t="s">
        <v>327</v>
      </c>
      <c r="N28" s="115">
        <f t="shared" si="6"/>
        <v>0.21276595744680851</v>
      </c>
      <c r="O28" s="115">
        <f t="shared" si="6"/>
        <v>0.23404255319148937</v>
      </c>
      <c r="Q28" s="132"/>
    </row>
    <row r="29" spans="2:17">
      <c r="C29" s="48"/>
      <c r="D29" s="526"/>
      <c r="E29" s="139" t="s">
        <v>81</v>
      </c>
      <c r="F29" s="115">
        <f>IF(ISERROR(+F20/SUM($F$18:$F$22)),"-",+F20/SUM($F$18:$F$22))</f>
        <v>0.37333333333333335</v>
      </c>
      <c r="G29" s="115">
        <f>IF(ISERROR(+G20/SUM($G$18:$G$22)),"-",+G20/SUM($G$18:$G$22))</f>
        <v>0.453125</v>
      </c>
      <c r="H29" s="115">
        <f>IF(ISERROR(+H20/SUM($H$18:$H$22)),"-",+H20/SUM($H$18:$H$22))</f>
        <v>0.532258064516129</v>
      </c>
      <c r="I29" s="115">
        <f>IF(ISERROR(+I20/SUM($I$18:$I$22)),"-",+I20/SUM($I$18:$I$22))</f>
        <v>0.39175257731958762</v>
      </c>
      <c r="J29" s="115" t="str">
        <f>IF(ISERROR(+J20/SUM($J$18:$J$22)),"-",+J20/SUM($J$18:$J$22))</f>
        <v>-</v>
      </c>
      <c r="K29" s="115">
        <f>IF(ISERROR(+K20/SUM($K$18:$K$22)),"-",+K20/SUM($K$18:$K$22))</f>
        <v>0.28735632183908044</v>
      </c>
      <c r="L29" s="407" t="s">
        <v>327</v>
      </c>
      <c r="M29" s="407" t="s">
        <v>327</v>
      </c>
      <c r="N29" s="115">
        <f t="shared" si="6"/>
        <v>0.47872340425531917</v>
      </c>
      <c r="O29" s="115">
        <f t="shared" si="6"/>
        <v>0.53191489361702127</v>
      </c>
    </row>
    <row r="30" spans="2:17">
      <c r="C30" s="48"/>
      <c r="D30" s="526"/>
      <c r="E30" s="139" t="s">
        <v>360</v>
      </c>
      <c r="F30" s="115">
        <f>IF(ISERROR(+F21/SUM($F$18:$F$22)),"-",+F21/SUM($F$18:$F$22))</f>
        <v>0.36</v>
      </c>
      <c r="G30" s="115">
        <f>IF(ISERROR(+G21/SUM($G$18:$G$22)),"-",+G21/SUM($G$18:$G$22))</f>
        <v>0.28125</v>
      </c>
      <c r="H30" s="115">
        <f>IF(ISERROR(+H21/SUM($H$18:$H$22)),"-",+H21/SUM($H$18:$H$22))</f>
        <v>0.24193548387096775</v>
      </c>
      <c r="I30" s="115">
        <f>IF(ISERROR(+I21/SUM($I$18:$I$22)),"-",+I21/SUM($I$18:$I$22))</f>
        <v>0.19587628865979381</v>
      </c>
      <c r="J30" s="115" t="str">
        <f>IF(ISERROR(+J21/SUM($J$18:$J$22)),"-",+J21/SUM($J$18:$J$22))</f>
        <v>-</v>
      </c>
      <c r="K30" s="115">
        <f>IF(ISERROR(+K21/SUM($K$18:$K$22)),"-",+K21/SUM($K$18:$K$22))</f>
        <v>0.34482758620689657</v>
      </c>
      <c r="L30" s="407" t="s">
        <v>327</v>
      </c>
      <c r="M30" s="407" t="s">
        <v>327</v>
      </c>
      <c r="N30" s="115">
        <f t="shared" si="6"/>
        <v>0.31914893617021278</v>
      </c>
      <c r="O30" s="115">
        <f t="shared" si="6"/>
        <v>0.31914893617021278</v>
      </c>
      <c r="Q30" s="132"/>
    </row>
    <row r="31" spans="2:17" ht="15.75" thickBot="1">
      <c r="C31" s="48"/>
      <c r="D31" s="526"/>
      <c r="E31" s="418" t="s">
        <v>82</v>
      </c>
      <c r="F31" s="419">
        <f>IF(ISERROR(+F22/SUM($F$18:$F$22)),"-",+F22/SUM($F$18:$F$22))</f>
        <v>6.6666666666666666E-2</v>
      </c>
      <c r="G31" s="419">
        <f>IF(ISERROR(+G22/SUM($G$18:$G$22)),"-",+G22/SUM($G$18:$G$22))</f>
        <v>7.8125E-2</v>
      </c>
      <c r="H31" s="419">
        <f>IF(ISERROR(+H22/SUM($H$18:$H$22)),"-",+H22/SUM($H$18:$H$22))</f>
        <v>4.8387096774193547E-2</v>
      </c>
      <c r="I31" s="419">
        <f>IF(ISERROR(+I22/SUM($I$18:$I$22)),"-",+I22/SUM($I$18:$I$22))</f>
        <v>5.1546391752577317E-2</v>
      </c>
      <c r="J31" s="419" t="str">
        <f>IF(ISERROR(+J22/SUM($J$18:$J$22)),"-",+J22/SUM($J$18:$J$22))</f>
        <v>-</v>
      </c>
      <c r="K31" s="419">
        <f>IF(ISERROR(+K22/SUM($K$18:$K$22)),"-",+K22/SUM($K$18:$K$22))</f>
        <v>4.5977011494252873E-2</v>
      </c>
      <c r="L31" s="516" t="s">
        <v>327</v>
      </c>
      <c r="M31" s="516" t="s">
        <v>327</v>
      </c>
      <c r="N31" s="419">
        <f t="shared" si="6"/>
        <v>4.2553191489361701E-2</v>
      </c>
      <c r="O31" s="419">
        <f t="shared" si="6"/>
        <v>4.2553191489361701E-2</v>
      </c>
    </row>
    <row r="32" spans="2:17" ht="15.75" thickTop="1">
      <c r="C32" s="48"/>
      <c r="D32" s="526"/>
      <c r="E32" s="416" t="s">
        <v>436</v>
      </c>
      <c r="F32" s="414">
        <f t="shared" ref="F32:K32" si="7">IF(ISERROR(F23/F17),"-",F23/F17)</f>
        <v>0.19148936170212766</v>
      </c>
      <c r="G32" s="414">
        <f t="shared" si="7"/>
        <v>0.189873417721519</v>
      </c>
      <c r="H32" s="414">
        <f t="shared" si="7"/>
        <v>0.37373737373737376</v>
      </c>
      <c r="I32" s="414">
        <f t="shared" si="7"/>
        <v>0.23622047244094488</v>
      </c>
      <c r="J32" s="414">
        <f t="shared" si="7"/>
        <v>1</v>
      </c>
      <c r="K32" s="414">
        <f t="shared" si="7"/>
        <v>0.33587786259541985</v>
      </c>
      <c r="L32" s="407" t="s">
        <v>327</v>
      </c>
      <c r="M32" s="407" t="s">
        <v>327</v>
      </c>
      <c r="N32" s="414">
        <f t="shared" si="6"/>
        <v>0.37234042553191488</v>
      </c>
      <c r="O32" s="414">
        <f t="shared" si="6"/>
        <v>0.37234042553191488</v>
      </c>
    </row>
    <row r="33" spans="2:15">
      <c r="C33" s="48"/>
      <c r="D33" s="526"/>
      <c r="E33" s="415" t="s">
        <v>366</v>
      </c>
      <c r="F33" s="414">
        <f t="shared" ref="F33:K33" si="8">IF(ISERROR(F24/F17),"-",F24/F17)</f>
        <v>1.0638297872340425E-2</v>
      </c>
      <c r="G33" s="414">
        <f t="shared" si="8"/>
        <v>0</v>
      </c>
      <c r="H33" s="414">
        <f t="shared" si="8"/>
        <v>0</v>
      </c>
      <c r="I33" s="414">
        <f t="shared" si="8"/>
        <v>0</v>
      </c>
      <c r="J33" s="414">
        <f t="shared" si="8"/>
        <v>0</v>
      </c>
      <c r="K33" s="414">
        <f t="shared" si="8"/>
        <v>0</v>
      </c>
      <c r="L33" s="407" t="s">
        <v>327</v>
      </c>
      <c r="M33" s="407" t="s">
        <v>327</v>
      </c>
      <c r="N33" s="414" t="str">
        <f t="shared" si="6"/>
        <v>-</v>
      </c>
      <c r="O33" s="414" t="str">
        <f t="shared" si="6"/>
        <v>-</v>
      </c>
    </row>
    <row r="34" spans="2:15" ht="7.5" customHeight="1">
      <c r="C34" s="48"/>
      <c r="D34" s="526"/>
      <c r="E34" s="133"/>
      <c r="F34" s="112"/>
      <c r="G34" s="112"/>
      <c r="H34" s="112"/>
      <c r="I34" s="112"/>
      <c r="J34" s="112"/>
      <c r="K34" s="112"/>
      <c r="L34" s="103"/>
      <c r="M34" s="103"/>
      <c r="N34" s="113"/>
      <c r="O34" s="113"/>
    </row>
    <row r="35" spans="2:15">
      <c r="C35" s="48"/>
      <c r="D35" s="526"/>
      <c r="E35" s="824" t="s">
        <v>336</v>
      </c>
      <c r="F35" s="825"/>
      <c r="G35" s="825"/>
      <c r="H35" s="825"/>
      <c r="I35" s="825"/>
      <c r="J35" s="825"/>
      <c r="K35" s="825"/>
      <c r="L35" s="825"/>
      <c r="M35" s="825"/>
      <c r="N35" s="825"/>
      <c r="O35" s="826"/>
    </row>
    <row r="36" spans="2:15">
      <c r="B36" s="44">
        <v>108</v>
      </c>
      <c r="C36" s="48" t="str">
        <f>TEXT($B$1,"00")&amp;"."&amp;TEXT($B36,"000")&amp;"."&amp;TEXT('Campus Selector'!$G$6,"00")</f>
        <v>06.108.25</v>
      </c>
      <c r="D36" s="526"/>
      <c r="E36" s="91" t="s">
        <v>339</v>
      </c>
      <c r="F36" s="116">
        <v>965.49295774647885</v>
      </c>
      <c r="G36" s="116">
        <v>979.27272727272725</v>
      </c>
      <c r="H36" s="116">
        <v>975.49019607843138</v>
      </c>
      <c r="I36" s="116">
        <v>996.40449438202245</v>
      </c>
      <c r="J36" s="116">
        <v>998.05555555555554</v>
      </c>
      <c r="K36" s="265">
        <v>980</v>
      </c>
      <c r="L36" s="114">
        <f t="shared" ref="L36:L37" si="9">IF(ISERROR((+K36-J36)/J36),"-",(+K36-J36)/J36)</f>
        <v>-1.8090731978847748E-2</v>
      </c>
      <c r="M36" s="80">
        <f>IF(ISERROR((+K36-F36)/F36),"-",(+K36-F36)/F36)</f>
        <v>1.5025528811086821E-2</v>
      </c>
      <c r="N36" s="238">
        <v>990</v>
      </c>
      <c r="O36" s="726">
        <v>990</v>
      </c>
    </row>
    <row r="37" spans="2:15">
      <c r="B37" s="44">
        <v>109</v>
      </c>
      <c r="C37" s="48" t="str">
        <f>TEXT($B$1,"00")&amp;"."&amp;TEXT($B37,"000")&amp;"."&amp;TEXT('Campus Selector'!$G$6,"00")</f>
        <v>06.109.25</v>
      </c>
      <c r="D37" s="526"/>
      <c r="E37" s="92" t="s">
        <v>201</v>
      </c>
      <c r="F37" s="280">
        <v>84.813186813186817</v>
      </c>
      <c r="G37" s="280">
        <v>84.012658227848107</v>
      </c>
      <c r="H37" s="280">
        <v>84.424242424242422</v>
      </c>
      <c r="I37" s="280">
        <v>86.417322834645674</v>
      </c>
      <c r="J37" s="280">
        <v>85.5</v>
      </c>
      <c r="K37" s="280">
        <v>85.55725190839695</v>
      </c>
      <c r="L37" s="77">
        <f t="shared" si="9"/>
        <v>6.6961296370701294E-4</v>
      </c>
      <c r="M37" s="155">
        <f>IF(ISERROR((+K37-F37)/F37),"-",(+K37-F37)/F37)</f>
        <v>8.7729882954291297E-3</v>
      </c>
      <c r="N37" s="727">
        <v>85.5</v>
      </c>
      <c r="O37" s="728">
        <v>85.5</v>
      </c>
    </row>
    <row r="38" spans="2:15" ht="6.95" customHeight="1">
      <c r="C38" s="48"/>
      <c r="D38" s="526"/>
      <c r="E38" s="69"/>
      <c r="F38" s="70"/>
      <c r="G38" s="70"/>
      <c r="H38" s="70"/>
      <c r="I38" s="70"/>
      <c r="J38" s="70"/>
    </row>
    <row r="39" spans="2:15">
      <c r="C39" s="48"/>
      <c r="D39" s="526"/>
      <c r="E39" s="821" t="s">
        <v>496</v>
      </c>
      <c r="F39" s="821"/>
      <c r="G39" s="821"/>
      <c r="H39" s="821"/>
      <c r="I39" s="821"/>
      <c r="J39" s="821"/>
      <c r="K39" s="821"/>
      <c r="L39" s="821"/>
      <c r="M39" s="821"/>
      <c r="N39" s="821"/>
      <c r="O39" s="821"/>
    </row>
    <row r="40" spans="2:15">
      <c r="C40" s="48"/>
      <c r="D40" s="526"/>
      <c r="E40" s="821" t="s">
        <v>733</v>
      </c>
      <c r="F40" s="821"/>
      <c r="G40" s="821"/>
      <c r="H40" s="821"/>
      <c r="I40" s="821"/>
      <c r="J40" s="821"/>
      <c r="K40" s="821"/>
      <c r="L40" s="821"/>
      <c r="M40" s="128"/>
      <c r="N40" s="128"/>
      <c r="O40" s="128"/>
    </row>
    <row r="41" spans="2:15">
      <c r="C41" s="48"/>
      <c r="D41" s="526"/>
      <c r="E41" s="119" t="s">
        <v>338</v>
      </c>
      <c r="F41" s="702"/>
      <c r="G41" s="702"/>
      <c r="H41" s="702"/>
      <c r="I41" s="702"/>
      <c r="J41" s="702"/>
      <c r="K41" s="702"/>
      <c r="L41" s="702"/>
      <c r="M41" s="128"/>
      <c r="N41" s="128"/>
      <c r="O41" s="128"/>
    </row>
    <row r="42" spans="2:15">
      <c r="C42" s="48"/>
      <c r="D42" s="526"/>
      <c r="E42" s="119" t="s">
        <v>337</v>
      </c>
      <c r="F42" s="120"/>
      <c r="G42" s="120"/>
      <c r="H42" s="120"/>
      <c r="I42" s="120"/>
      <c r="J42" s="120"/>
      <c r="K42" s="120"/>
      <c r="L42" s="120"/>
      <c r="M42" s="118"/>
      <c r="N42" s="118"/>
      <c r="O42" s="118"/>
    </row>
    <row r="43" spans="2:15" ht="7.5" customHeight="1">
      <c r="C43" s="48"/>
      <c r="D43" s="526"/>
      <c r="E43" s="120"/>
      <c r="F43" s="120"/>
      <c r="G43" s="120"/>
      <c r="H43" s="120"/>
      <c r="I43" s="120"/>
      <c r="J43" s="120"/>
      <c r="K43" s="120"/>
      <c r="L43" s="120"/>
      <c r="M43" s="118"/>
      <c r="N43" s="118"/>
      <c r="O43" s="118"/>
    </row>
    <row r="44" spans="2:15">
      <c r="B44" s="47"/>
      <c r="C44" s="48"/>
      <c r="D44" s="526"/>
      <c r="E44" s="121" t="s">
        <v>260</v>
      </c>
      <c r="F44" s="122"/>
      <c r="G44" s="123"/>
      <c r="H44" s="122"/>
      <c r="I44" s="122"/>
      <c r="J44" s="122"/>
      <c r="K44" s="122"/>
      <c r="L44" s="123"/>
      <c r="M44" s="124"/>
      <c r="N44" s="124"/>
      <c r="O44" s="124"/>
    </row>
    <row r="45" spans="2:15">
      <c r="C45" s="48"/>
      <c r="D45" s="526"/>
      <c r="E45" s="814"/>
      <c r="F45" s="814"/>
      <c r="G45" s="814"/>
      <c r="H45" s="814"/>
      <c r="I45" s="814"/>
      <c r="J45" s="814"/>
      <c r="K45" s="814"/>
      <c r="L45" s="814"/>
      <c r="M45" s="814"/>
      <c r="N45" s="814"/>
      <c r="O45" s="814"/>
    </row>
    <row r="46" spans="2:15">
      <c r="C46" s="48"/>
      <c r="D46" s="526"/>
      <c r="E46" s="814"/>
      <c r="F46" s="814"/>
      <c r="G46" s="814"/>
      <c r="H46" s="814"/>
      <c r="I46" s="814"/>
      <c r="J46" s="814"/>
      <c r="K46" s="814"/>
      <c r="L46" s="814"/>
      <c r="M46" s="814"/>
      <c r="N46" s="814"/>
      <c r="O46" s="814"/>
    </row>
    <row r="47" spans="2:15">
      <c r="C47" s="48"/>
      <c r="D47" s="526"/>
      <c r="E47" s="814"/>
      <c r="F47" s="814"/>
      <c r="G47" s="814"/>
      <c r="H47" s="814"/>
      <c r="I47" s="814"/>
      <c r="J47" s="814"/>
      <c r="K47" s="814"/>
      <c r="L47" s="814"/>
      <c r="M47" s="814"/>
      <c r="N47" s="814"/>
      <c r="O47" s="814"/>
    </row>
    <row r="48" spans="2:15" ht="15" customHeight="1">
      <c r="D48" s="526"/>
    </row>
    <row r="49" spans="4:4" ht="15" customHeight="1">
      <c r="D49" s="526"/>
    </row>
    <row r="50" spans="4:4" ht="15" customHeight="1">
      <c r="D50" s="526"/>
    </row>
    <row r="51" spans="4:4" ht="15" customHeight="1">
      <c r="D51" s="526"/>
    </row>
    <row r="52" spans="4:4" ht="15" customHeight="1">
      <c r="D52" s="526"/>
    </row>
    <row r="53" spans="4:4" ht="15" customHeight="1">
      <c r="D53" s="526"/>
    </row>
    <row r="54" spans="4:4" ht="15" customHeight="1">
      <c r="D54" s="526"/>
    </row>
    <row r="55" spans="4:4" ht="15" customHeight="1">
      <c r="D55" s="526"/>
    </row>
  </sheetData>
  <mergeCells count="9">
    <mergeCell ref="R5:V5"/>
    <mergeCell ref="E45:O47"/>
    <mergeCell ref="E40:L40"/>
    <mergeCell ref="E4:O4"/>
    <mergeCell ref="E5:O5"/>
    <mergeCell ref="E8:O8"/>
    <mergeCell ref="E15:O15"/>
    <mergeCell ref="E39:O39"/>
    <mergeCell ref="E35:O35"/>
  </mergeCells>
  <phoneticPr fontId="5" type="noConversion"/>
  <printOptions horizontalCentered="1"/>
  <pageMargins left="0.2" right="0.2" top="0.5" bottom="0.5" header="0.3" footer="0.3"/>
  <pageSetup scale="80" fitToWidth="0" orientation="landscape" horizontalDpi="300" verticalDpi="300" r:id="rId1"/>
  <headerFooter alignWithMargins="0">
    <oddFooter>&amp;LState University of New York System Administration&amp;R&amp;G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V55"/>
  <sheetViews>
    <sheetView showGridLines="0" topLeftCell="D3" zoomScaleNormal="100" workbookViewId="0">
      <selection activeCell="P44" sqref="P44"/>
    </sheetView>
  </sheetViews>
  <sheetFormatPr defaultColWidth="9.140625" defaultRowHeight="15" customHeight="1"/>
  <cols>
    <col min="1" max="1" width="9.140625" style="32" hidden="1" customWidth="1"/>
    <col min="2" max="2" width="8" style="44" hidden="1" customWidth="1"/>
    <col min="3" max="3" width="10" style="32" hidden="1" customWidth="1"/>
    <col min="4" max="4" width="10" style="50" customWidth="1"/>
    <col min="5" max="5" width="32.85546875" style="61" customWidth="1"/>
    <col min="6" max="12" width="10" style="53" customWidth="1"/>
    <col min="13" max="14" width="10" style="1" customWidth="1"/>
    <col min="15" max="16384" width="9.140625" style="1"/>
  </cols>
  <sheetData>
    <row r="1" spans="1:22" s="32" customFormat="1" ht="15" hidden="1" customHeight="1">
      <c r="A1" s="32" t="s">
        <v>254</v>
      </c>
      <c r="B1" s="44">
        <v>7</v>
      </c>
      <c r="E1" s="67"/>
      <c r="F1" s="44">
        <v>20</v>
      </c>
      <c r="G1" s="44">
        <f>F1+1</f>
        <v>21</v>
      </c>
      <c r="H1" s="44">
        <f>G1+1</f>
        <v>22</v>
      </c>
      <c r="I1" s="44">
        <f>H1+1</f>
        <v>23</v>
      </c>
      <c r="J1" s="44">
        <f>I1+1</f>
        <v>24</v>
      </c>
      <c r="K1" s="44">
        <f>+J1+1</f>
        <v>25</v>
      </c>
      <c r="L1" s="45"/>
      <c r="M1" s="32">
        <v>27</v>
      </c>
      <c r="N1" s="32">
        <f>M1+1</f>
        <v>28</v>
      </c>
    </row>
    <row r="2" spans="1:22" s="32" customFormat="1" ht="15" hidden="1" customHeight="1">
      <c r="B2" s="44"/>
      <c r="E2" s="67"/>
    </row>
    <row r="4" spans="1:22" ht="15" customHeight="1">
      <c r="E4" s="815" t="str">
        <f>"Attachment 2: Data Summary and Detail Tables - "&amp;'Campus Selector'!$G$3</f>
        <v>Attachment 2: Data Summary and Detail Tables - Canton</v>
      </c>
      <c r="F4" s="815"/>
      <c r="G4" s="815"/>
      <c r="H4" s="815"/>
      <c r="I4" s="815"/>
      <c r="J4" s="815"/>
      <c r="K4" s="815"/>
      <c r="L4" s="815"/>
      <c r="M4" s="815"/>
      <c r="N4" s="815"/>
    </row>
    <row r="5" spans="1:22" ht="20.25" customHeight="1">
      <c r="E5" s="816" t="s">
        <v>702</v>
      </c>
      <c r="F5" s="816"/>
      <c r="G5" s="816"/>
      <c r="H5" s="816"/>
      <c r="I5" s="816"/>
      <c r="J5" s="816"/>
      <c r="K5" s="816"/>
      <c r="L5" s="816"/>
      <c r="M5" s="816"/>
      <c r="N5" s="816"/>
      <c r="R5" s="813"/>
      <c r="S5" s="813"/>
      <c r="T5" s="813"/>
      <c r="U5" s="813"/>
      <c r="V5" s="813"/>
    </row>
    <row r="6" spans="1:22" ht="15" customHeight="1">
      <c r="E6" s="7"/>
      <c r="F6" s="7"/>
      <c r="G6" s="7"/>
      <c r="H6" s="7"/>
      <c r="I6" s="7"/>
      <c r="J6" s="7"/>
      <c r="K6" s="7"/>
      <c r="L6" s="7"/>
      <c r="M6" s="7"/>
      <c r="N6" s="7"/>
    </row>
    <row r="7" spans="1:22" ht="41.25" customHeight="1">
      <c r="B7" s="47" t="s">
        <v>253</v>
      </c>
      <c r="C7" s="48"/>
      <c r="D7" s="526"/>
      <c r="E7" s="715" t="s">
        <v>461</v>
      </c>
      <c r="F7" s="98" t="s">
        <v>49</v>
      </c>
      <c r="G7" s="98" t="s">
        <v>50</v>
      </c>
      <c r="H7" s="98" t="s">
        <v>51</v>
      </c>
      <c r="I7" s="98" t="s">
        <v>52</v>
      </c>
      <c r="J7" s="98" t="s">
        <v>53</v>
      </c>
      <c r="K7" s="98" t="s">
        <v>261</v>
      </c>
      <c r="L7" s="98" t="s">
        <v>39</v>
      </c>
      <c r="M7" s="98" t="s">
        <v>231</v>
      </c>
      <c r="N7" s="98" t="s">
        <v>54</v>
      </c>
    </row>
    <row r="8" spans="1:22" ht="15" customHeight="1">
      <c r="B8" s="47"/>
      <c r="C8" s="48"/>
      <c r="D8" s="526"/>
      <c r="E8" s="140" t="s">
        <v>0</v>
      </c>
      <c r="F8" s="141">
        <f t="shared" ref="F8:K8" si="0">SUM(F9,F11,F13)</f>
        <v>3320</v>
      </c>
      <c r="G8" s="141">
        <f t="shared" si="0"/>
        <v>3655</v>
      </c>
      <c r="H8" s="141">
        <f t="shared" si="0"/>
        <v>3825</v>
      </c>
      <c r="I8" s="141">
        <f t="shared" si="0"/>
        <v>3780</v>
      </c>
      <c r="J8" s="141">
        <f t="shared" si="0"/>
        <v>3512</v>
      </c>
      <c r="K8" s="141">
        <f t="shared" si="0"/>
        <v>3282</v>
      </c>
      <c r="L8" s="282">
        <f>(+K8-F8)/F8</f>
        <v>-1.144578313253012E-2</v>
      </c>
      <c r="M8" s="544">
        <v>3600</v>
      </c>
      <c r="N8" s="545">
        <v>3800</v>
      </c>
    </row>
    <row r="9" spans="1:22" ht="15" customHeight="1">
      <c r="B9" s="47"/>
      <c r="C9" s="48"/>
      <c r="D9" s="526"/>
      <c r="E9" s="144" t="s">
        <v>31</v>
      </c>
      <c r="F9" s="145">
        <f>SUM(F17,,F25,)</f>
        <v>2935</v>
      </c>
      <c r="G9" s="145">
        <f t="shared" ref="G9:K9" si="1">SUM(G17,,G25,)</f>
        <v>3171</v>
      </c>
      <c r="H9" s="145">
        <f t="shared" si="1"/>
        <v>3380</v>
      </c>
      <c r="I9" s="145">
        <f t="shared" si="1"/>
        <v>3436</v>
      </c>
      <c r="J9" s="145">
        <f t="shared" si="1"/>
        <v>3321</v>
      </c>
      <c r="K9" s="145">
        <f t="shared" si="1"/>
        <v>3127</v>
      </c>
      <c r="L9" s="147">
        <f>(+K9-F9)/F9</f>
        <v>6.5417376490630327E-2</v>
      </c>
      <c r="M9" s="241">
        <v>3384</v>
      </c>
      <c r="N9" s="242">
        <v>3496</v>
      </c>
    </row>
    <row r="10" spans="1:22" ht="15" customHeight="1">
      <c r="B10" s="47"/>
      <c r="C10" s="48"/>
      <c r="D10" s="526"/>
      <c r="E10" s="146" t="s">
        <v>40</v>
      </c>
      <c r="F10" s="147">
        <f>+F9/F$8</f>
        <v>0.88403614457831325</v>
      </c>
      <c r="G10" s="147">
        <f t="shared" ref="G10:K10" si="2">+G9/G$8</f>
        <v>0.86757865937072498</v>
      </c>
      <c r="H10" s="147">
        <f t="shared" si="2"/>
        <v>0.88366013071895422</v>
      </c>
      <c r="I10" s="147">
        <f t="shared" si="2"/>
        <v>0.90899470899470902</v>
      </c>
      <c r="J10" s="147">
        <f t="shared" si="2"/>
        <v>0.94561503416856496</v>
      </c>
      <c r="K10" s="147">
        <f t="shared" si="2"/>
        <v>0.9527726995734308</v>
      </c>
      <c r="L10" s="284" t="s">
        <v>327</v>
      </c>
      <c r="M10" s="72">
        <f>IF(ISERROR(+M9/M$8),"",+M9/M$8)</f>
        <v>0.94</v>
      </c>
      <c r="N10" s="72">
        <f>IF(ISERROR(+N9/N$8),"",+N9/N$8)</f>
        <v>0.92</v>
      </c>
    </row>
    <row r="11" spans="1:22" ht="15" customHeight="1">
      <c r="B11" s="47"/>
      <c r="C11" s="48"/>
      <c r="D11" s="526"/>
      <c r="E11" s="92" t="s">
        <v>9</v>
      </c>
      <c r="F11" s="135">
        <f t="shared" ref="F11:K11" si="3">SUM(F19,,F27,)</f>
        <v>68</v>
      </c>
      <c r="G11" s="135">
        <f t="shared" si="3"/>
        <v>99</v>
      </c>
      <c r="H11" s="135">
        <f t="shared" si="3"/>
        <v>119</v>
      </c>
      <c r="I11" s="135">
        <f t="shared" si="3"/>
        <v>114</v>
      </c>
      <c r="J11" s="135">
        <f t="shared" si="3"/>
        <v>104</v>
      </c>
      <c r="K11" s="135">
        <f t="shared" si="3"/>
        <v>100</v>
      </c>
      <c r="L11" s="72">
        <f>(+K11-F11)/F11</f>
        <v>0.47058823529411764</v>
      </c>
      <c r="M11" s="241">
        <v>130</v>
      </c>
      <c r="N11" s="242">
        <v>190</v>
      </c>
    </row>
    <row r="12" spans="1:22" ht="15" customHeight="1">
      <c r="C12" s="48"/>
      <c r="D12" s="526"/>
      <c r="E12" s="138" t="s">
        <v>40</v>
      </c>
      <c r="F12" s="72">
        <f t="shared" ref="F12:K12" si="4">+F11/F$8</f>
        <v>2.0481927710843374E-2</v>
      </c>
      <c r="G12" s="72">
        <f t="shared" si="4"/>
        <v>2.7086183310533515E-2</v>
      </c>
      <c r="H12" s="72">
        <f t="shared" si="4"/>
        <v>3.111111111111111E-2</v>
      </c>
      <c r="I12" s="72">
        <f t="shared" si="4"/>
        <v>3.0158730158730159E-2</v>
      </c>
      <c r="J12" s="72">
        <f t="shared" si="4"/>
        <v>2.9612756264236904E-2</v>
      </c>
      <c r="K12" s="72">
        <f t="shared" si="4"/>
        <v>3.0469226081657527E-2</v>
      </c>
      <c r="L12" s="148" t="s">
        <v>327</v>
      </c>
      <c r="M12" s="72">
        <f>IF(ISERROR(+M11/M$8),"",+M11/M$8)</f>
        <v>3.6111111111111108E-2</v>
      </c>
      <c r="N12" s="72">
        <f>IF(ISERROR(+N11/N$8),"",+N11/N$8)</f>
        <v>0.05</v>
      </c>
    </row>
    <row r="13" spans="1:22" ht="15" customHeight="1">
      <c r="C13" s="48"/>
      <c r="D13" s="526"/>
      <c r="E13" s="92" t="s">
        <v>8</v>
      </c>
      <c r="F13" s="135">
        <f t="shared" ref="F13:K13" si="5">SUM(F21,,F29,)</f>
        <v>317</v>
      </c>
      <c r="G13" s="135">
        <f t="shared" si="5"/>
        <v>385</v>
      </c>
      <c r="H13" s="135">
        <f t="shared" si="5"/>
        <v>326</v>
      </c>
      <c r="I13" s="135">
        <f t="shared" si="5"/>
        <v>230</v>
      </c>
      <c r="J13" s="135">
        <f t="shared" si="5"/>
        <v>87</v>
      </c>
      <c r="K13" s="135">
        <f t="shared" si="5"/>
        <v>55</v>
      </c>
      <c r="L13" s="72">
        <f>(+K13-F13)/F13</f>
        <v>-0.82649842271293372</v>
      </c>
      <c r="M13" s="241">
        <v>86</v>
      </c>
      <c r="N13" s="242">
        <v>114</v>
      </c>
    </row>
    <row r="14" spans="1:22" ht="15" customHeight="1">
      <c r="C14" s="48"/>
      <c r="D14" s="526"/>
      <c r="E14" s="139" t="s">
        <v>40</v>
      </c>
      <c r="F14" s="86">
        <f t="shared" ref="F14:K14" si="6">+F13/F$8</f>
        <v>9.5481927710843378E-2</v>
      </c>
      <c r="G14" s="86">
        <f t="shared" si="6"/>
        <v>0.10533515731874145</v>
      </c>
      <c r="H14" s="86">
        <f t="shared" si="6"/>
        <v>8.5228758169934637E-2</v>
      </c>
      <c r="I14" s="86">
        <f t="shared" si="6"/>
        <v>6.0846560846560843E-2</v>
      </c>
      <c r="J14" s="86">
        <f t="shared" si="6"/>
        <v>2.4772209567198177E-2</v>
      </c>
      <c r="K14" s="86">
        <f t="shared" si="6"/>
        <v>1.6758074344911639E-2</v>
      </c>
      <c r="L14" s="148" t="s">
        <v>327</v>
      </c>
      <c r="M14" s="72">
        <f>IF(ISERROR(+M13/M$8),"",+M13/M$8)</f>
        <v>2.388888888888889E-2</v>
      </c>
      <c r="N14" s="72">
        <f>IF(ISERROR(+N13/N$8),"",+N13/N$8)</f>
        <v>0.03</v>
      </c>
    </row>
    <row r="15" spans="1:22" ht="7.5" customHeight="1">
      <c r="C15" s="48"/>
      <c r="D15" s="526"/>
      <c r="E15" s="149"/>
      <c r="F15" s="113"/>
      <c r="G15" s="113"/>
      <c r="H15" s="113"/>
      <c r="I15" s="113"/>
      <c r="J15" s="113"/>
      <c r="K15" s="113"/>
      <c r="L15" s="75"/>
      <c r="M15" s="103"/>
      <c r="N15" s="103"/>
    </row>
    <row r="16" spans="1:22" ht="15" customHeight="1">
      <c r="B16" s="47"/>
      <c r="C16" s="48"/>
      <c r="D16" s="526"/>
      <c r="E16" s="140" t="s">
        <v>703</v>
      </c>
      <c r="F16" s="141">
        <f>+'Enrollment 5YR'!F13</f>
        <v>3320</v>
      </c>
      <c r="G16" s="141">
        <f>+'Enrollment 5YR'!G13</f>
        <v>3655</v>
      </c>
      <c r="H16" s="141">
        <f>+'Enrollment 5YR'!H13</f>
        <v>3825</v>
      </c>
      <c r="I16" s="141">
        <f>+'Enrollment 5YR'!I13</f>
        <v>3780</v>
      </c>
      <c r="J16" s="141">
        <f>+'Enrollment 5YR'!J13</f>
        <v>3512</v>
      </c>
      <c r="K16" s="141">
        <f>+'Enrollment 5YR'!K13</f>
        <v>3282</v>
      </c>
      <c r="L16" s="282">
        <f>(+K16-F16)/F16</f>
        <v>-1.144578313253012E-2</v>
      </c>
      <c r="M16" s="544">
        <v>3600</v>
      </c>
      <c r="N16" s="545">
        <v>3800</v>
      </c>
    </row>
    <row r="17" spans="2:14" ht="15" customHeight="1">
      <c r="B17" s="47">
        <v>429</v>
      </c>
      <c r="C17" s="48" t="str">
        <f>TEXT($B$1,"00")&amp;"."&amp;TEXT($B17,"000")&amp;"."&amp;TEXT('Campus Selector'!$G$6,"00")</f>
        <v>07.429.25</v>
      </c>
      <c r="D17" s="526"/>
      <c r="E17" s="144" t="s">
        <v>31</v>
      </c>
      <c r="F17" s="145">
        <v>2935</v>
      </c>
      <c r="G17" s="145">
        <v>3171</v>
      </c>
      <c r="H17" s="145">
        <v>3380</v>
      </c>
      <c r="I17" s="145">
        <v>3436</v>
      </c>
      <c r="J17" s="145">
        <v>3321</v>
      </c>
      <c r="K17" s="145">
        <v>3127</v>
      </c>
      <c r="L17" s="147">
        <f>(+K17-F17)/F17</f>
        <v>6.5417376490630327E-2</v>
      </c>
      <c r="M17" s="241">
        <v>3384</v>
      </c>
      <c r="N17" s="242">
        <v>3496</v>
      </c>
    </row>
    <row r="18" spans="2:14" ht="15" customHeight="1">
      <c r="B18" s="47"/>
      <c r="C18" s="48"/>
      <c r="D18" s="526"/>
      <c r="E18" s="146" t="s">
        <v>40</v>
      </c>
      <c r="F18" s="147">
        <f t="shared" ref="F18:K18" si="7">+F17/F$16</f>
        <v>0.88403614457831325</v>
      </c>
      <c r="G18" s="147">
        <f t="shared" si="7"/>
        <v>0.86757865937072498</v>
      </c>
      <c r="H18" s="147">
        <f t="shared" si="7"/>
        <v>0.88366013071895422</v>
      </c>
      <c r="I18" s="147">
        <f t="shared" si="7"/>
        <v>0.90899470899470902</v>
      </c>
      <c r="J18" s="147">
        <f t="shared" si="7"/>
        <v>0.94561503416856496</v>
      </c>
      <c r="K18" s="147">
        <f t="shared" si="7"/>
        <v>0.9527726995734308</v>
      </c>
      <c r="L18" s="284" t="s">
        <v>327</v>
      </c>
      <c r="M18" s="72">
        <f>IF(ISERROR(+M17/M$16),"",+M17/M$16)</f>
        <v>0.94</v>
      </c>
      <c r="N18" s="72">
        <f>IF(ISERROR(+N17/N$16),"",+N17/N$16)</f>
        <v>0.92</v>
      </c>
    </row>
    <row r="19" spans="2:14" ht="15" customHeight="1">
      <c r="B19" s="47">
        <v>430</v>
      </c>
      <c r="C19" s="48" t="str">
        <f>TEXT($B$1,"00")&amp;"."&amp;TEXT($B19,"000")&amp;"."&amp;TEXT('Campus Selector'!$G$6,"00")</f>
        <v>07.430.25</v>
      </c>
      <c r="D19" s="526"/>
      <c r="E19" s="92" t="s">
        <v>9</v>
      </c>
      <c r="F19" s="135">
        <v>68</v>
      </c>
      <c r="G19" s="135">
        <v>99</v>
      </c>
      <c r="H19" s="135">
        <v>119</v>
      </c>
      <c r="I19" s="135">
        <v>114</v>
      </c>
      <c r="J19" s="135">
        <v>104</v>
      </c>
      <c r="K19" s="135">
        <v>100</v>
      </c>
      <c r="L19" s="72">
        <f>(+K19-F19)/F19</f>
        <v>0.47058823529411764</v>
      </c>
      <c r="M19" s="241">
        <v>130</v>
      </c>
      <c r="N19" s="242">
        <v>190</v>
      </c>
    </row>
    <row r="20" spans="2:14" ht="15" customHeight="1">
      <c r="C20" s="48"/>
      <c r="D20" s="526"/>
      <c r="E20" s="138" t="s">
        <v>40</v>
      </c>
      <c r="F20" s="72">
        <f t="shared" ref="F20:K20" si="8">+F19/F$16</f>
        <v>2.0481927710843374E-2</v>
      </c>
      <c r="G20" s="72">
        <f t="shared" si="8"/>
        <v>2.7086183310533515E-2</v>
      </c>
      <c r="H20" s="72">
        <f t="shared" si="8"/>
        <v>3.111111111111111E-2</v>
      </c>
      <c r="I20" s="72">
        <f t="shared" si="8"/>
        <v>3.0158730158730159E-2</v>
      </c>
      <c r="J20" s="72">
        <f t="shared" si="8"/>
        <v>2.9612756264236904E-2</v>
      </c>
      <c r="K20" s="72">
        <f t="shared" si="8"/>
        <v>3.0469226081657527E-2</v>
      </c>
      <c r="L20" s="148" t="s">
        <v>327</v>
      </c>
      <c r="M20" s="72">
        <f>IF(ISERROR(+M19/M$16),"",+M19/M$16)</f>
        <v>3.6111111111111108E-2</v>
      </c>
      <c r="N20" s="72">
        <f>IF(ISERROR(+N19/N$16),"",+N19/N$16)</f>
        <v>0.05</v>
      </c>
    </row>
    <row r="21" spans="2:14" ht="15" customHeight="1">
      <c r="B21" s="44">
        <v>431</v>
      </c>
      <c r="C21" s="48" t="str">
        <f>TEXT($B$1,"00")&amp;"."&amp;TEXT($B21,"000")&amp;"."&amp;TEXT('Campus Selector'!$G$6,"00")</f>
        <v>07.431.25</v>
      </c>
      <c r="D21" s="526"/>
      <c r="E21" s="92" t="s">
        <v>8</v>
      </c>
      <c r="F21" s="135">
        <v>317</v>
      </c>
      <c r="G21" s="135">
        <v>385</v>
      </c>
      <c r="H21" s="135">
        <v>326</v>
      </c>
      <c r="I21" s="135">
        <v>230</v>
      </c>
      <c r="J21" s="135">
        <v>87</v>
      </c>
      <c r="K21" s="135">
        <v>55</v>
      </c>
      <c r="L21" s="72">
        <f>(+K21-F21)/F21</f>
        <v>-0.82649842271293372</v>
      </c>
      <c r="M21" s="241">
        <v>86</v>
      </c>
      <c r="N21" s="242">
        <v>114</v>
      </c>
    </row>
    <row r="22" spans="2:14" ht="15" customHeight="1">
      <c r="C22" s="48"/>
      <c r="D22" s="526"/>
      <c r="E22" s="138" t="s">
        <v>40</v>
      </c>
      <c r="F22" s="72">
        <f t="shared" ref="F22:K22" si="9">+F21/F$16</f>
        <v>9.5481927710843378E-2</v>
      </c>
      <c r="G22" s="72">
        <f t="shared" si="9"/>
        <v>0.10533515731874145</v>
      </c>
      <c r="H22" s="72">
        <f t="shared" si="9"/>
        <v>8.5228758169934637E-2</v>
      </c>
      <c r="I22" s="72">
        <f t="shared" si="9"/>
        <v>6.0846560846560843E-2</v>
      </c>
      <c r="J22" s="72">
        <f t="shared" si="9"/>
        <v>2.4772209567198177E-2</v>
      </c>
      <c r="K22" s="72">
        <f t="shared" si="9"/>
        <v>1.6758074344911639E-2</v>
      </c>
      <c r="L22" s="148" t="s">
        <v>327</v>
      </c>
      <c r="M22" s="72">
        <f>IF(ISERROR(+M21/M$16),"",+M21/M$16)</f>
        <v>2.388888888888889E-2</v>
      </c>
      <c r="N22" s="72">
        <f>IF(ISERROR(+N21/N$16),"",+N21/N$16)</f>
        <v>0.03</v>
      </c>
    </row>
    <row r="23" spans="2:14" ht="7.5" hidden="1" customHeight="1">
      <c r="C23" s="48"/>
      <c r="D23" s="526"/>
      <c r="E23" s="133"/>
      <c r="F23" s="113"/>
      <c r="G23" s="113"/>
      <c r="H23" s="113"/>
      <c r="I23" s="113"/>
      <c r="J23" s="113"/>
      <c r="K23" s="113"/>
      <c r="L23" s="75"/>
      <c r="M23" s="103"/>
      <c r="N23" s="103"/>
    </row>
    <row r="24" spans="2:14" ht="15" hidden="1" customHeight="1">
      <c r="B24" s="47"/>
      <c r="C24" s="48"/>
      <c r="D24" s="526"/>
      <c r="E24" s="140" t="s">
        <v>704</v>
      </c>
      <c r="F24" s="142">
        <f>+'Enrollment 5YR'!F29</f>
        <v>0</v>
      </c>
      <c r="G24" s="142">
        <f>+'Enrollment 5YR'!G29</f>
        <v>0</v>
      </c>
      <c r="H24" s="142">
        <f>+'Enrollment 5YR'!H29</f>
        <v>0</v>
      </c>
      <c r="I24" s="143">
        <f>+'Enrollment 5YR'!I29</f>
        <v>0</v>
      </c>
      <c r="J24" s="143">
        <f>+'Enrollment 5YR'!J29</f>
        <v>0</v>
      </c>
      <c r="K24" s="143">
        <f>+'Enrollment 5YR'!K29</f>
        <v>0</v>
      </c>
      <c r="L24" s="283" t="str">
        <f>IF(ISERROR((+K24-F24)/F24),"-",(+K24-F24)/F24)</f>
        <v>-</v>
      </c>
      <c r="M24" s="544" t="str">
        <f>IF(SUM(M25,M27,M29)=0,"",SUM(M25,M27,M29))</f>
        <v/>
      </c>
      <c r="N24" s="545" t="str">
        <f t="shared" ref="N24" si="10">IF(SUM(N25,N27,N29)=0,"",SUM(N25,N27,N29))</f>
        <v/>
      </c>
    </row>
    <row r="25" spans="2:14" ht="15" hidden="1" customHeight="1">
      <c r="B25" s="47">
        <v>432</v>
      </c>
      <c r="C25" s="48" t="str">
        <f>TEXT($B$1,"00")&amp;"."&amp;TEXT($B25,"000")&amp;"."&amp;TEXT('Campus Selector'!$G$6,"00")</f>
        <v>07.432.25</v>
      </c>
      <c r="D25" s="526"/>
      <c r="E25" s="144" t="s">
        <v>31</v>
      </c>
      <c r="F25" s="145">
        <v>0</v>
      </c>
      <c r="G25" s="145">
        <v>0</v>
      </c>
      <c r="H25" s="145">
        <v>0</v>
      </c>
      <c r="I25" s="145">
        <v>0</v>
      </c>
      <c r="J25" s="145">
        <v>0</v>
      </c>
      <c r="K25" s="145">
        <v>0</v>
      </c>
      <c r="L25" s="147" t="str">
        <f>IF(ISERROR((+K25-F25)/F25),"-",(+K25-F25)/F25)</f>
        <v>-</v>
      </c>
      <c r="M25" s="241"/>
      <c r="N25" s="242"/>
    </row>
    <row r="26" spans="2:14" ht="15" hidden="1" customHeight="1">
      <c r="B26" s="47"/>
      <c r="C26" s="48"/>
      <c r="D26" s="526"/>
      <c r="E26" s="146" t="s">
        <v>40</v>
      </c>
      <c r="F26" s="147" t="str">
        <f t="shared" ref="F26:K26" si="11">IF(ISERROR(+F25/F24),"-",+F25/F24)</f>
        <v>-</v>
      </c>
      <c r="G26" s="147" t="str">
        <f t="shared" si="11"/>
        <v>-</v>
      </c>
      <c r="H26" s="147" t="str">
        <f t="shared" si="11"/>
        <v>-</v>
      </c>
      <c r="I26" s="147" t="str">
        <f t="shared" si="11"/>
        <v>-</v>
      </c>
      <c r="J26" s="147" t="str">
        <f t="shared" si="11"/>
        <v>-</v>
      </c>
      <c r="K26" s="147" t="str">
        <f t="shared" si="11"/>
        <v>-</v>
      </c>
      <c r="L26" s="284" t="s">
        <v>327</v>
      </c>
      <c r="M26" s="72" t="str">
        <f>IF(ISERROR(+M25/M24),"",+M25/M24)</f>
        <v/>
      </c>
      <c r="N26" s="72" t="str">
        <f>IF(ISERROR(+N25/N24),"",+N25/N24)</f>
        <v/>
      </c>
    </row>
    <row r="27" spans="2:14" ht="15" hidden="1" customHeight="1">
      <c r="B27" s="47">
        <v>433</v>
      </c>
      <c r="C27" s="48" t="str">
        <f>TEXT($B$1,"00")&amp;"."&amp;TEXT($B27,"000")&amp;"."&amp;TEXT('Campus Selector'!$G$6,"00")</f>
        <v>07.433.25</v>
      </c>
      <c r="D27" s="526"/>
      <c r="E27" s="92" t="s">
        <v>9</v>
      </c>
      <c r="F27" s="135">
        <v>0</v>
      </c>
      <c r="G27" s="135">
        <v>0</v>
      </c>
      <c r="H27" s="135">
        <v>0</v>
      </c>
      <c r="I27" s="135">
        <v>0</v>
      </c>
      <c r="J27" s="135">
        <v>0</v>
      </c>
      <c r="K27" s="135">
        <v>0</v>
      </c>
      <c r="L27" s="72" t="str">
        <f>IF(ISERROR((+K27-F27)/F27),"-",(+K27-F27)/F27)</f>
        <v>-</v>
      </c>
      <c r="M27" s="241"/>
      <c r="N27" s="242"/>
    </row>
    <row r="28" spans="2:14" ht="15" hidden="1" customHeight="1">
      <c r="C28" s="48"/>
      <c r="D28" s="526"/>
      <c r="E28" s="138" t="s">
        <v>40</v>
      </c>
      <c r="F28" s="72" t="str">
        <f t="shared" ref="F28:K28" si="12">IF(ISERROR(+F27/F24),"-",+F27/F24)</f>
        <v>-</v>
      </c>
      <c r="G28" s="72" t="str">
        <f t="shared" si="12"/>
        <v>-</v>
      </c>
      <c r="H28" s="72" t="str">
        <f t="shared" si="12"/>
        <v>-</v>
      </c>
      <c r="I28" s="72" t="str">
        <f t="shared" si="12"/>
        <v>-</v>
      </c>
      <c r="J28" s="72" t="str">
        <f t="shared" si="12"/>
        <v>-</v>
      </c>
      <c r="K28" s="72" t="str">
        <f t="shared" si="12"/>
        <v>-</v>
      </c>
      <c r="L28" s="148" t="s">
        <v>327</v>
      </c>
      <c r="M28" s="72">
        <f>IF(ISERROR(+M27/$M$16),"",+M27/$M$16)</f>
        <v>0</v>
      </c>
      <c r="N28" s="72" t="str">
        <f>IF(ISERROR(+N27/N24),"",+N27/N24)</f>
        <v/>
      </c>
    </row>
    <row r="29" spans="2:14" ht="15" hidden="1" customHeight="1">
      <c r="B29" s="44">
        <v>434</v>
      </c>
      <c r="C29" s="48" t="str">
        <f>TEXT($B$1,"00")&amp;"."&amp;TEXT($B29,"000")&amp;"."&amp;TEXT('Campus Selector'!$G$6,"00")</f>
        <v>07.434.25</v>
      </c>
      <c r="D29" s="526"/>
      <c r="E29" s="92" t="s">
        <v>8</v>
      </c>
      <c r="F29" s="135">
        <v>0</v>
      </c>
      <c r="G29" s="135">
        <v>0</v>
      </c>
      <c r="H29" s="135">
        <v>0</v>
      </c>
      <c r="I29" s="135">
        <v>0</v>
      </c>
      <c r="J29" s="135">
        <v>0</v>
      </c>
      <c r="K29" s="135">
        <v>0</v>
      </c>
      <c r="L29" s="72" t="str">
        <f>IF(ISERROR((+K29-F29)/F29),"-",(+K29-F29)/F29)</f>
        <v>-</v>
      </c>
      <c r="M29" s="241"/>
      <c r="N29" s="242"/>
    </row>
    <row r="30" spans="2:14" ht="15" hidden="1" customHeight="1">
      <c r="C30" s="48"/>
      <c r="D30" s="526"/>
      <c r="E30" s="138" t="s">
        <v>40</v>
      </c>
      <c r="F30" s="72" t="str">
        <f t="shared" ref="F30:K30" si="13">IF(ISERROR(+F29/F24),"-",+F29/F24)</f>
        <v>-</v>
      </c>
      <c r="G30" s="72" t="str">
        <f t="shared" si="13"/>
        <v>-</v>
      </c>
      <c r="H30" s="72" t="str">
        <f t="shared" si="13"/>
        <v>-</v>
      </c>
      <c r="I30" s="72" t="str">
        <f t="shared" si="13"/>
        <v>-</v>
      </c>
      <c r="J30" s="72" t="str">
        <f t="shared" si="13"/>
        <v>-</v>
      </c>
      <c r="K30" s="72" t="str">
        <f t="shared" si="13"/>
        <v>-</v>
      </c>
      <c r="L30" s="148" t="s">
        <v>327</v>
      </c>
      <c r="M30" s="72">
        <f>IF(ISERROR(+M29/$M$16),"",+M29/$M$16)</f>
        <v>0</v>
      </c>
      <c r="N30" s="72" t="str">
        <f>IF(ISERROR(+N29/N24),"",+N29/N24)</f>
        <v/>
      </c>
    </row>
    <row r="31" spans="2:14" ht="6.95" customHeight="1">
      <c r="C31" s="48"/>
      <c r="D31" s="526"/>
      <c r="E31" s="69"/>
      <c r="F31" s="70"/>
      <c r="G31" s="70"/>
      <c r="H31" s="70"/>
      <c r="I31" s="70"/>
      <c r="J31" s="70"/>
      <c r="K31" s="1"/>
      <c r="L31" s="1"/>
    </row>
    <row r="32" spans="2:14" ht="15" customHeight="1">
      <c r="C32" s="48"/>
      <c r="D32" s="526"/>
      <c r="E32" s="827" t="s">
        <v>498</v>
      </c>
      <c r="F32" s="827"/>
      <c r="G32" s="827"/>
      <c r="H32" s="827"/>
      <c r="I32" s="827"/>
      <c r="J32" s="827"/>
      <c r="K32" s="827"/>
      <c r="L32" s="827"/>
      <c r="M32" s="118"/>
      <c r="N32" s="118"/>
    </row>
    <row r="33" spans="2:14" ht="15" customHeight="1">
      <c r="B33" s="47"/>
      <c r="C33" s="48"/>
      <c r="D33" s="526"/>
      <c r="E33" s="137" t="s">
        <v>341</v>
      </c>
      <c r="F33" s="126"/>
      <c r="G33" s="126"/>
      <c r="H33" s="126"/>
      <c r="I33" s="126"/>
      <c r="J33" s="126"/>
      <c r="K33" s="126"/>
      <c r="L33" s="126"/>
      <c r="M33" s="118"/>
      <c r="N33" s="118"/>
    </row>
    <row r="34" spans="2:14" ht="6.95" customHeight="1">
      <c r="C34" s="48"/>
      <c r="D34" s="526"/>
      <c r="E34" s="137"/>
      <c r="F34" s="126"/>
      <c r="G34" s="126"/>
      <c r="H34" s="126"/>
      <c r="I34" s="126"/>
      <c r="J34" s="126"/>
      <c r="K34" s="126"/>
      <c r="L34" s="126"/>
      <c r="M34" s="118"/>
      <c r="N34" s="118"/>
    </row>
    <row r="35" spans="2:14" ht="15" customHeight="1">
      <c r="B35" s="47"/>
      <c r="C35" s="48"/>
      <c r="D35" s="526"/>
      <c r="E35" s="121" t="s">
        <v>260</v>
      </c>
      <c r="F35" s="122"/>
      <c r="G35" s="123"/>
      <c r="H35" s="122"/>
      <c r="I35" s="122"/>
      <c r="J35" s="122"/>
      <c r="K35" s="122"/>
      <c r="L35" s="123"/>
      <c r="M35" s="124"/>
      <c r="N35" s="124"/>
    </row>
    <row r="36" spans="2:14" ht="15" customHeight="1">
      <c r="B36" s="47"/>
      <c r="C36" s="48"/>
      <c r="D36" s="526"/>
      <c r="E36" s="814"/>
      <c r="F36" s="814"/>
      <c r="G36" s="814"/>
      <c r="H36" s="814"/>
      <c r="I36" s="814"/>
      <c r="J36" s="814"/>
      <c r="K36" s="814"/>
      <c r="L36" s="814"/>
      <c r="M36" s="814"/>
      <c r="N36" s="814"/>
    </row>
    <row r="37" spans="2:14" ht="15" customHeight="1">
      <c r="C37" s="48"/>
      <c r="D37" s="526"/>
      <c r="E37" s="814"/>
      <c r="F37" s="814"/>
      <c r="G37" s="814"/>
      <c r="H37" s="814"/>
      <c r="I37" s="814"/>
      <c r="J37" s="814"/>
      <c r="K37" s="814"/>
      <c r="L37" s="814"/>
      <c r="M37" s="814"/>
      <c r="N37" s="814"/>
    </row>
    <row r="38" spans="2:14" ht="15" customHeight="1">
      <c r="C38" s="48"/>
      <c r="D38" s="526"/>
      <c r="E38" s="814"/>
      <c r="F38" s="814"/>
      <c r="G38" s="814"/>
      <c r="H38" s="814"/>
      <c r="I38" s="814"/>
      <c r="J38" s="814"/>
      <c r="K38" s="814"/>
      <c r="L38" s="814"/>
      <c r="M38" s="814"/>
      <c r="N38" s="814"/>
    </row>
    <row r="39" spans="2:14" ht="15" customHeight="1">
      <c r="D39" s="526"/>
    </row>
    <row r="40" spans="2:14" ht="15" customHeight="1">
      <c r="D40" s="526"/>
    </row>
    <row r="41" spans="2:14" ht="15" customHeight="1">
      <c r="D41" s="526"/>
    </row>
    <row r="42" spans="2:14" ht="15" customHeight="1">
      <c r="D42" s="526"/>
    </row>
    <row r="43" spans="2:14" ht="15" customHeight="1">
      <c r="D43" s="526"/>
    </row>
    <row r="44" spans="2:14" ht="15" customHeight="1">
      <c r="D44" s="526"/>
    </row>
    <row r="45" spans="2:14" ht="15" customHeight="1">
      <c r="D45" s="526"/>
    </row>
    <row r="46" spans="2:14" ht="15" customHeight="1">
      <c r="D46" s="526"/>
    </row>
    <row r="47" spans="2:14" ht="15" customHeight="1">
      <c r="D47" s="526"/>
    </row>
    <row r="48" spans="2:14" ht="15" customHeight="1">
      <c r="D48" s="526"/>
    </row>
    <row r="49" spans="4:4" ht="15" customHeight="1">
      <c r="D49" s="526"/>
    </row>
    <row r="50" spans="4:4" ht="15" customHeight="1">
      <c r="D50" s="526"/>
    </row>
    <row r="51" spans="4:4" ht="15" customHeight="1">
      <c r="D51" s="526"/>
    </row>
    <row r="52" spans="4:4" ht="15" customHeight="1">
      <c r="D52" s="526"/>
    </row>
    <row r="53" spans="4:4" ht="15" customHeight="1">
      <c r="D53" s="526"/>
    </row>
    <row r="54" spans="4:4" ht="15" customHeight="1">
      <c r="D54" s="526"/>
    </row>
    <row r="55" spans="4:4" ht="15" customHeight="1">
      <c r="D55" s="526"/>
    </row>
  </sheetData>
  <mergeCells count="5">
    <mergeCell ref="E32:L32"/>
    <mergeCell ref="E4:N4"/>
    <mergeCell ref="E5:N5"/>
    <mergeCell ref="E36:N38"/>
    <mergeCell ref="R5:V5"/>
  </mergeCells>
  <phoneticPr fontId="5" type="noConversion"/>
  <printOptions horizontalCentered="1"/>
  <pageMargins left="0.2" right="0.2" top="0.5" bottom="0.5" header="0.3" footer="0.3"/>
  <pageSetup fitToWidth="0" orientation="landscape" horizontalDpi="300" verticalDpi="300" r:id="rId1"/>
  <headerFooter alignWithMargins="0">
    <oddFooter>&amp;LState University of New York System Administration&amp;R&amp;G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48</vt:i4>
      </vt:variant>
    </vt:vector>
  </HeadingPairs>
  <TitlesOfParts>
    <vt:vector size="73" baseType="lpstr">
      <vt:lpstr>Campus Selector</vt:lpstr>
      <vt:lpstr>SUNY Excels 17</vt:lpstr>
      <vt:lpstr>Workbook Contents</vt:lpstr>
      <vt:lpstr>SUNY Excels Graphics (T)</vt:lpstr>
      <vt:lpstr>SUNY Excels Dashboard</vt:lpstr>
      <vt:lpstr>Enrollment 5YR</vt:lpstr>
      <vt:lpstr>FULL Enrollment Beyond Fall</vt:lpstr>
      <vt:lpstr>Applicant Acceptance</vt:lpstr>
      <vt:lpstr>Geographic Diversity 5 Year</vt:lpstr>
      <vt:lpstr>Student Diversity 5 Year</vt:lpstr>
      <vt:lpstr>Faculty Trends</vt:lpstr>
      <vt:lpstr>Staff Trends</vt:lpstr>
      <vt:lpstr>Retention</vt:lpstr>
      <vt:lpstr>First-Time Grad Rates</vt:lpstr>
      <vt:lpstr>Transfer Grad Rates</vt:lpstr>
      <vt:lpstr>Time Credits to Degree</vt:lpstr>
      <vt:lpstr>SUNY Educ Outcomes</vt:lpstr>
      <vt:lpstr>Degrees Awards Granted</vt:lpstr>
      <vt:lpstr>SOS Results Table 1</vt:lpstr>
      <vt:lpstr>SOS Results Table 2</vt:lpstr>
      <vt:lpstr>Financial Aid Literacy</vt:lpstr>
      <vt:lpstr>Research Expenditures</vt:lpstr>
      <vt:lpstr>Alumni Philanthropy</vt:lpstr>
      <vt:lpstr>Campus Plan 4 input (no sector)</vt:lpstr>
      <vt:lpstr>Campus Plan 4 input(hide)</vt:lpstr>
      <vt:lpstr>'Campus Selector'!____W.O.R.K.B.O.O.K..C.O.N.T.E.N.T.S____</vt:lpstr>
      <vt:lpstr>'Workbook Contents'!____W.O.R.K.B.O.O.K..C.O.N.T.E.N.T.S____</vt:lpstr>
      <vt:lpstr>CampusName</vt:lpstr>
      <vt:lpstr>CampusNameList</vt:lpstr>
      <vt:lpstr>'Alumni Philanthropy'!Print_Area</vt:lpstr>
      <vt:lpstr>'Applicant Acceptance'!Print_Area</vt:lpstr>
      <vt:lpstr>'Campus Selector'!Print_Area</vt:lpstr>
      <vt:lpstr>'Degrees Awards Granted'!Print_Area</vt:lpstr>
      <vt:lpstr>'Enrollment 5YR'!Print_Area</vt:lpstr>
      <vt:lpstr>'Faculty Trends'!Print_Area</vt:lpstr>
      <vt:lpstr>'Financial Aid Literacy'!Print_Area</vt:lpstr>
      <vt:lpstr>'First-Time Grad Rates'!Print_Area</vt:lpstr>
      <vt:lpstr>'FULL Enrollment Beyond Fall'!Print_Area</vt:lpstr>
      <vt:lpstr>'Geographic Diversity 5 Year'!Print_Area</vt:lpstr>
      <vt:lpstr>'Research Expenditures'!Print_Area</vt:lpstr>
      <vt:lpstr>Retention!Print_Area</vt:lpstr>
      <vt:lpstr>'SOS Results Table 1'!Print_Area</vt:lpstr>
      <vt:lpstr>'SOS Results Table 2'!Print_Area</vt:lpstr>
      <vt:lpstr>'Staff Trends'!Print_Area</vt:lpstr>
      <vt:lpstr>'Student Diversity 5 Year'!Print_Area</vt:lpstr>
      <vt:lpstr>'SUNY Educ Outcomes'!Print_Area</vt:lpstr>
      <vt:lpstr>'SUNY Excels 17'!Print_Area</vt:lpstr>
      <vt:lpstr>'SUNY Excels Dashboard'!Print_Area</vt:lpstr>
      <vt:lpstr>'SUNY Excels Graphics (T)'!Print_Area</vt:lpstr>
      <vt:lpstr>'Time Credits to Degree'!Print_Area</vt:lpstr>
      <vt:lpstr>'Transfer Grad Rates'!Print_Area</vt:lpstr>
      <vt:lpstr>'Workbook Contents'!Print_Area</vt:lpstr>
      <vt:lpstr>'Alumni Philanthropy'!Print_Titles</vt:lpstr>
      <vt:lpstr>'Applicant Acceptance'!Print_Titles</vt:lpstr>
      <vt:lpstr>'Degrees Awards Granted'!Print_Titles</vt:lpstr>
      <vt:lpstr>'Enrollment 5YR'!Print_Titles</vt:lpstr>
      <vt:lpstr>'Faculty Trends'!Print_Titles</vt:lpstr>
      <vt:lpstr>'Financial Aid Literacy'!Print_Titles</vt:lpstr>
      <vt:lpstr>'First-Time Grad Rates'!Print_Titles</vt:lpstr>
      <vt:lpstr>'FULL Enrollment Beyond Fall'!Print_Titles</vt:lpstr>
      <vt:lpstr>'Geographic Diversity 5 Year'!Print_Titles</vt:lpstr>
      <vt:lpstr>'Research Expenditures'!Print_Titles</vt:lpstr>
      <vt:lpstr>Retention!Print_Titles</vt:lpstr>
      <vt:lpstr>'SOS Results Table 1'!Print_Titles</vt:lpstr>
      <vt:lpstr>'SOS Results Table 2'!Print_Titles</vt:lpstr>
      <vt:lpstr>'Staff Trends'!Print_Titles</vt:lpstr>
      <vt:lpstr>'Student Diversity 5 Year'!Print_Titles</vt:lpstr>
      <vt:lpstr>'SUNY Educ Outcomes'!Print_Titles</vt:lpstr>
      <vt:lpstr>'SUNY Excels Dashboard'!Print_Titles</vt:lpstr>
      <vt:lpstr>'Time Credits to Degree'!Print_Titles</vt:lpstr>
      <vt:lpstr>'Transfer Grad Rates'!Print_Titles</vt:lpstr>
      <vt:lpstr>'SUNY Excels Dashboard'!table</vt:lpstr>
      <vt:lpstr>'SUNY Excels Graphics (T)'!table</vt:lpstr>
    </vt:vector>
  </TitlesOfParts>
  <Company>SUNY System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D.Lamphere</dc:creator>
  <cp:lastModifiedBy>Scheidt, Douglas</cp:lastModifiedBy>
  <cp:lastPrinted>2015-10-21T13:33:35Z</cp:lastPrinted>
  <dcterms:created xsi:type="dcterms:W3CDTF">2006-09-13T15:57:57Z</dcterms:created>
  <dcterms:modified xsi:type="dcterms:W3CDTF">2015-10-21T13:54:35Z</dcterms:modified>
</cp:coreProperties>
</file>